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4d320707a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63585b51421e42cd"/>
    <x:sheet xmlns:r="http://schemas.openxmlformats.org/officeDocument/2006/relationships" name="Inputs" sheetId="2" r:id="Re5f9a2e6ce644f97"/>
    <x:sheet xmlns:r="http://schemas.openxmlformats.org/officeDocument/2006/relationships" name="Fast Estimate" sheetId="3" r:id="R96dd8af667574c70"/>
    <x:sheet xmlns:r="http://schemas.openxmlformats.org/officeDocument/2006/relationships" name="O&amp;M" sheetId="4" r:id="R7a0d539cb1f447e8"/>
    <x:sheet xmlns:r="http://schemas.openxmlformats.org/officeDocument/2006/relationships" name="Cash Flow" sheetId="5" r:id="Rb94198fbef414c57"/>
    <x:sheet xmlns:r="http://schemas.openxmlformats.org/officeDocument/2006/relationships" name="Proposal" sheetId="6" r:id="R5a735c7c9ed141b4"/>
    <x:sheet xmlns:r="http://schemas.openxmlformats.org/officeDocument/2006/relationships" name="Checks" sheetId="7" r:id="Rb8c0daf7b0704f1d"/>
    <x:sheet xmlns:r="http://schemas.openxmlformats.org/officeDocument/2006/relationships" name="Sources" sheetId="8" r:id="R0a3e0f72f4b44df1"/>
  </x:sheets>
</x:workbook>
</file>

<file path=xl/comments1.xml><?xml version="1.0" encoding="utf-8"?>
<x:comments xmlns:x="http://schemas.openxmlformats.org/spreadsheetml/2006/main">
  <x:authors>
    <x:author>tc={5C7BF93D-09FF-41B6-B9B6-D2813665450D}</x:author>
    <x:author>tc={1408786F-3747-4E70-A056-DDCF2A7D2CD9}</x:author>
    <x:author>tc={A81B8503-6A76-490F-A6D8-0D2B0ECC9139}</x:author>
    <x:author>tc={0C91D41E-138A-4297-B330-D858CB3E0C9C}</x:author>
    <x:author>tc={4E8F665F-D78B-4C43-B40B-BD92168E9B8C}</x:author>
    <x:author>tc={F9D40DA8-7249-406E-98E7-FC697B456CE5}</x:author>
    <x:author>tc={F6455D1D-A4AD-4C24-8419-1091EC2DC736}</x:author>
    <x:author>tc={7D80296B-D51F-4131-B08C-1391FA331CE0}</x:author>
    <x:author>tc={F08EB83C-42F5-435C-9164-4D6AF5231AD0}</x:author>
    <x:author>tc={AFEA5487-2D68-4E07-860A-9BA64E1F863A}</x:author>
    <x:author>tc={C5BD7398-7962-493F-86C3-5169C9D74CAD}</x:author>
    <x:author>tc={AECFF9EB-F222-45FE-9988-69D175F2484C}</x:author>
    <x:author>tc={A623D683-9317-4ECC-8269-F99C63FF4133}</x:author>
    <x:author>tc={EEABDEF7-709E-4160-8897-E1E8AA8F140F}</x:author>
    <x:author>tc={921DA664-AE03-42E4-AD6B-0DC8968B5566}</x:author>
    <x:author>tc={843EE3B5-CEC0-42AF-8778-027D9FCDD6E1}</x:author>
    <x:author>tc={70E60F01-7F3B-47CB-A121-B7CB68CC5D00}</x:author>
    <x:author>tc={6B6D474B-F279-4B0A-9875-C13867CFA2DD}</x:author>
    <x:author>tc={2B2E175E-EC72-4AD4-8BF2-304282F39BBF}</x:author>
    <x:author>tc={2C753C27-FD4B-4B60-AE62-362EA320BBA9}</x:author>
    <x:author>tc={530C7164-D328-4B44-B78C-976F4D4F7D57}</x:author>
    <x:author>tc={F3546BA2-4CC9-4DC1-9B1F-1BDCADE36369}</x:author>
    <x:author>tc={060639F9-00F0-4B04-B378-387B0654ED1B}</x:author>
    <x:author>tc={157E1268-03C3-4E4B-ACD9-914B86DC52BA}</x:author>
    <x:author>tc={4A4AB9B9-6BD0-4937-A85E-E67C6CA648CE}</x:author>
    <x:author>tc={BF36D8A5-B603-4CAB-8642-766F53918D64}</x:author>
    <x:author>tc={6CE4E76E-A635-4030-978F-EB9DF1A19C3C}</x:author>
    <x:author>tc={E86BF30B-0E10-4227-986E-6C595819EF4B}</x:author>
    <x:author>tc={8807C43C-69A3-4D7F-B0F5-517CC9D0366F}</x:author>
    <x:author>tc={7376AF12-4BAC-4CA0-8377-68A8949F1F43}</x:author>
    <x:author>tc={63AB72EB-31F4-4FB2-842B-F50EA3CCB76C}</x:author>
    <x:author>tc={77DBBFCE-6C99-48CF-A642-62E36DFD618C}</x:author>
    <x:author>tc={7DC05C44-D419-47BD-9799-04C19EBCAFB0}</x:author>
    <x:author>tc={2A7918CC-24F2-4863-81C7-56040743EF22}</x:author>
    <x:author>tc={236E7850-1655-4A32-9E77-F02DCCFAC7D5}</x:author>
    <x:author>tc={68E86BB9-2CF0-4CAB-87D5-BA9C17CB8475}</x:author>
    <x:author>tc={5057FBBE-FD12-42A4-8E06-C930E8E9AB1F}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New demonstration assumption. Not a current verified quote or tariff.</x:t>
        </x:r>
      </x:text>
    </x:comment>
    <x:comment ref="B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New demonstration assumption. Not a current verified quote or tariff.</x:t>
        </x:r>
      </x:text>
    </x:comment>
    <x:comment ref="B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7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8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39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40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41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  <x:comment ref="B42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previous Solara corrected models (11 July 2026), consolidated for the illustrative demo. Not a current verified quote or tariff.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;&quot;-&quot;"/>
    <x:numFmt numFmtId="201" formatCode="0.0%;[Red](0.0%);&quot;-&quot;"/>
    <x:numFmt numFmtId="202" formatCode="#,##0;[Red](#,##0);&quot;-&quot;"/>
    <x:numFmt numFmtId="203" formatCode="0.000000"/>
  </x:numFmts>
  <x:fonts count="11">
    <x:font>
      <x:sz val="11"/>
      <x:name val="Carlito"/>
    </x:font>
    <x:font>
      <x:sz val="11"/>
      <x:name val="Aptos"/>
    </x:font>
    <x:font>
      <x:b/>
      <x:sz val="19"/>
      <x:color rgb="FFFFFFFF"/>
      <x:name val="Aptos"/>
    </x:font>
    <x:font>
      <x:b/>
      <x:sz val="11"/>
      <x:color rgb="FF123D30"/>
      <x:name val="Aptos"/>
    </x:font>
    <x:font>
      <x:sz val="11"/>
      <x:color rgb="FF0000FF"/>
      <x:name val="Aptos"/>
    </x:font>
    <x:font>
      <x:sz val="10"/>
      <x:color rgb="FF597168"/>
      <x:name val="Aptos"/>
    </x:font>
    <x:font>
      <x:sz val="11"/>
      <x:color rgb="FF008000"/>
      <x:name val="Aptos"/>
    </x:font>
    <x:font>
      <x:sz val="11"/>
      <x:color rgb="FF000000"/>
      <x:name val="Aptos"/>
    </x:font>
    <x:font>
      <x:sz val="11"/>
      <x:color rgb="FF597168"/>
      <x:name val="Aptos"/>
    </x:font>
    <x:font>
      <x:b/>
      <x:sz val="13"/>
      <x:color rgb="FF008000"/>
      <x:name val="Aptos"/>
    </x:font>
    <x:font>
      <x:b/>
      <x:sz val="13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23D30"/>
      </x:patternFill>
    </x:fill>
    <x:fill>
      <x:patternFill patternType="solid">
        <x:fgColor rgb="FFDBE9E1"/>
      </x:patternFill>
    </x:fill>
    <x:fill>
      <x:patternFill patternType="solid">
        <x:fgColor rgb="FFFFF2C9"/>
      </x:patternFill>
    </x:fill>
  </x:fills>
  <x:borders count="1">
    <x:border/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1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202" fontId="6" fillId="0" borderId="0" xfId="0" applyNumberFormat="1" applyFont="1" applyFill="1" applyBorder="1"/>
    <x:xf numFmtId="202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/>
    <x:xf numFmtId="200" fontId="1" fillId="0" borderId="0" xfId="0" applyNumberFormat="1" applyFont="1" applyFill="1" applyBorder="1"/>
    <x:xf numFmtId="201" fontId="6" fillId="0" borderId="0" xfId="0" applyNumberFormat="1" applyFont="1" applyFill="1" applyBorder="1"/>
    <x:xf numFmtId="200" fontId="6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3" fontId="6" fillId="0" borderId="0" xfId="0" applyNumberFormat="1" applyFont="1" applyFill="1" applyBorder="1"/>
    <x:xf numFmtId="203" fontId="1" fillId="0" borderId="0" xfId="0" applyNumberFormat="1" applyFont="1" applyFill="1" applyBorder="1"/>
    <x:xf numFmtId="203" fontId="7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A12613"/>
      </x:font>
      <x:fill>
        <x:patternFill patternType="solid">
          <x:bgColor rgb="FFFBDC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308c3fb034d99" /><Relationship Type="http://schemas.openxmlformats.org/officeDocument/2006/relationships/theme" Target="/xl/theme/theme1.xml" Id="R9580a77b3b6843b3" /><Relationship Type="http://schemas.openxmlformats.org/officeDocument/2006/relationships/sharedStrings" Target="/xl/sharedStrings.xml" Id="R5d7397c0d1084549" /><Relationship Type="http://schemas.openxmlformats.org/officeDocument/2006/relationships/worksheet" Target="/xl/worksheets/sheet1.xml" Id="R63585b51421e42cd" /><Relationship Type="http://schemas.openxmlformats.org/officeDocument/2006/relationships/worksheet" Target="/xl/worksheets/sheet2.xml" Id="Re5f9a2e6ce644f97" /><Relationship Type="http://schemas.openxmlformats.org/officeDocument/2006/relationships/worksheet" Target="/xl/worksheets/sheet3.xml" Id="R96dd8af667574c70" /><Relationship Type="http://schemas.openxmlformats.org/officeDocument/2006/relationships/worksheet" Target="/xl/worksheets/sheet4.xml" Id="R7a0d539cb1f447e8" /><Relationship Type="http://schemas.openxmlformats.org/officeDocument/2006/relationships/worksheet" Target="/xl/worksheets/sheet5.xml" Id="Rb94198fbef414c57" /><Relationship Type="http://schemas.openxmlformats.org/officeDocument/2006/relationships/worksheet" Target="/xl/worksheets/sheet6.xml" Id="R5a735c7c9ed141b4" /><Relationship Type="http://schemas.openxmlformats.org/officeDocument/2006/relationships/worksheet" Target="/xl/worksheets/sheet7.xml" Id="Rb8c0daf7b0704f1d" /><Relationship Type="http://schemas.openxmlformats.org/officeDocument/2006/relationships/worksheet" Target="/xl/worksheets/sheet8.xml" Id="R0a3e0f72f4b44df1" /><Relationship Type="http://schemas.microsoft.com/office/2017/10/relationships/person" Target="/xl/persons/person.xml" Id="Rc01b7d64afe042d5" /></Relationships>
</file>

<file path=xl/persons/person.xml><?xml version="1.0" encoding="utf-8"?>
<xltc:personList xmlns:xltc="http://schemas.microsoft.com/office/spreadsheetml/2018/threadedcomments">
  <xltc:person displayName="Ali Bayoumi" id="{D55452D3-DE26-4C4D-9A08-A05FBFB77A43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09-07T10:16:04.078" personId="{D55452D3-DE26-4C4D-9A08-A05FBFB77A43}" id="{5C7BF93D-09FF-41B6-B9B6-D2813665450D}">
    <xltc:text>Source: previous Solara corrected models (11 July 2026), consolidated for the illustrative demo. Not a current verified quote or tariff.</xltc:text>
  </xltc:threadedComment>
  <xltc:threadedComment ref="B7" dT="2026-09-07T10:16:04.079" personId="{D55452D3-DE26-4C4D-9A08-A05FBFB77A43}" id="{1408786F-3747-4E70-A056-DDCF2A7D2CD9}">
    <xltc:text>Source: previous Solara corrected models (11 July 2026), consolidated for the illustrative demo. Not a current verified quote or tariff.</xltc:text>
  </xltc:threadedComment>
  <xltc:threadedComment ref="B8" dT="2026-09-07T10:16:04.08" personId="{D55452D3-DE26-4C4D-9A08-A05FBFB77A43}" id="{A81B8503-6A76-490F-A6D8-0D2B0ECC9139}">
    <xltc:text>Source: previous Solara corrected models (11 July 2026), consolidated for the illustrative demo. Not a current verified quote or tariff.</xltc:text>
  </xltc:threadedComment>
  <xltc:threadedComment ref="B9" dT="2026-09-07T10:16:04.081" personId="{D55452D3-DE26-4C4D-9A08-A05FBFB77A43}" id="{0C91D41E-138A-4297-B330-D858CB3E0C9C}">
    <xltc:text>Source: previous Solara corrected models (11 July 2026), consolidated for the illustrative demo. Not a current verified quote or tariff.</xltc:text>
  </xltc:threadedComment>
  <xltc:threadedComment ref="B10" dT="2026-09-07T10:16:04.081" personId="{D55452D3-DE26-4C4D-9A08-A05FBFB77A43}" id="{4E8F665F-D78B-4C43-B40B-BD92168E9B8C}">
    <xltc:text>Source: previous Solara corrected models (11 July 2026), consolidated for the illustrative demo. Not a current verified quote or tariff.</xltc:text>
  </xltc:threadedComment>
  <xltc:threadedComment ref="B11" dT="2026-09-07T10:16:04.082" personId="{D55452D3-DE26-4C4D-9A08-A05FBFB77A43}" id="{F9D40DA8-7249-406E-98E7-FC697B456CE5}">
    <xltc:text>Source: previous Solara corrected models (11 July 2026), consolidated for the illustrative demo. Not a current verified quote or tariff.</xltc:text>
  </xltc:threadedComment>
  <xltc:threadedComment ref="B12" dT="2026-09-07T10:16:04.082" personId="{D55452D3-DE26-4C4D-9A08-A05FBFB77A43}" id="{F6455D1D-A4AD-4C24-8419-1091EC2DC736}">
    <xltc:text>Source: previous Solara corrected models (11 July 2026), consolidated for the illustrative demo. Not a current verified quote or tariff.</xltc:text>
  </xltc:threadedComment>
  <xltc:threadedComment ref="B13" dT="2026-09-07T10:16:04.083" personId="{D55452D3-DE26-4C4D-9A08-A05FBFB77A43}" id="{7D80296B-D51F-4131-B08C-1391FA331CE0}">
    <xltc:text>Source: previous Solara corrected models (11 July 2026), consolidated for the illustrative demo. Not a current verified quote or tariff.</xltc:text>
  </xltc:threadedComment>
  <xltc:threadedComment ref="B14" dT="2026-09-07T10:16:04.083" personId="{D55452D3-DE26-4C4D-9A08-A05FBFB77A43}" id="{F08EB83C-42F5-435C-9164-4D6AF5231AD0}">
    <xltc:text>Source: previous Solara corrected models (11 July 2026), consolidated for the illustrative demo. Not a current verified quote or tariff.</xltc:text>
  </xltc:threadedComment>
  <xltc:threadedComment ref="B15" dT="2026-09-07T10:16:04.084" personId="{D55452D3-DE26-4C4D-9A08-A05FBFB77A43}" id="{AFEA5487-2D68-4E07-860A-9BA64E1F863A}">
    <xltc:text>Source: previous Solara corrected models (11 July 2026), consolidated for the illustrative demo. Not a current verified quote or tariff.</xltc:text>
  </xltc:threadedComment>
  <xltc:threadedComment ref="B16" dT="2026-09-07T10:16:04.085" personId="{D55452D3-DE26-4C4D-9A08-A05FBFB77A43}" id="{C5BD7398-7962-493F-86C3-5169C9D74CAD}">
    <xltc:text>Source: previous Solara corrected models (11 July 2026), consolidated for the illustrative demo. Not a current verified quote or tariff.</xltc:text>
  </xltc:threadedComment>
  <xltc:threadedComment ref="B17" dT="2026-09-07T10:16:04.085" personId="{D55452D3-DE26-4C4D-9A08-A05FBFB77A43}" id="{AECFF9EB-F222-45FE-9988-69D175F2484C}">
    <xltc:text>Source: previous Solara corrected models (11 July 2026), consolidated for the illustrative demo. Not a current verified quote or tariff.</xltc:text>
  </xltc:threadedComment>
  <xltc:threadedComment ref="B18" dT="2026-09-07T10:16:04.086" personId="{D55452D3-DE26-4C4D-9A08-A05FBFB77A43}" id="{A623D683-9317-4ECC-8269-F99C63FF4133}">
    <xltc:text>Source: previous Solara corrected models (11 July 2026), consolidated for the illustrative demo. Not a current verified quote or tariff.</xltc:text>
  </xltc:threadedComment>
  <xltc:threadedComment ref="B19" dT="2026-09-07T10:16:04.086" personId="{D55452D3-DE26-4C4D-9A08-A05FBFB77A43}" id="{EEABDEF7-709E-4160-8897-E1E8AA8F140F}">
    <xltc:text>Source: previous Solara corrected models (11 July 2026), consolidated for the illustrative demo. Not a current verified quote or tariff.</xltc:text>
  </xltc:threadedComment>
  <xltc:threadedComment ref="B20" dT="2026-09-07T10:16:04.087" personId="{D55452D3-DE26-4C4D-9A08-A05FBFB77A43}" id="{921DA664-AE03-42E4-AD6B-0DC8968B5566}">
    <xltc:text>Source: previous Solara corrected models (11 July 2026), consolidated for the illustrative demo. Not a current verified quote or tariff.</xltc:text>
  </xltc:threadedComment>
  <xltc:threadedComment ref="B21" dT="2026-09-07T10:16:04.087" personId="{D55452D3-DE26-4C4D-9A08-A05FBFB77A43}" id="{843EE3B5-CEC0-42AF-8778-027D9FCDD6E1}">
    <xltc:text>Source: previous Solara corrected models (11 July 2026), consolidated for the illustrative demo. Not a current verified quote or tariff.</xltc:text>
  </xltc:threadedComment>
  <xltc:threadedComment ref="B22" dT="2026-09-07T10:16:04.088" personId="{D55452D3-DE26-4C4D-9A08-A05FBFB77A43}" id="{70E60F01-7F3B-47CB-A121-B7CB68CC5D00}">
    <xltc:text>Source: previous Solara corrected models (11 July 2026), consolidated for the illustrative demo. Not a current verified quote or tariff.</xltc:text>
  </xltc:threadedComment>
  <xltc:threadedComment ref="B23" dT="2026-09-07T10:16:04.088" personId="{D55452D3-DE26-4C4D-9A08-A05FBFB77A43}" id="{6B6D474B-F279-4B0A-9875-C13867CFA2DD}">
    <xltc:text>Source: previous Solara corrected models (11 July 2026), consolidated for the illustrative demo. Not a current verified quote or tariff.</xltc:text>
  </xltc:threadedComment>
  <xltc:threadedComment ref="B24" dT="2026-09-07T10:16:04.089" personId="{D55452D3-DE26-4C4D-9A08-A05FBFB77A43}" id="{2B2E175E-EC72-4AD4-8BF2-304282F39BBF}">
    <xltc:text>Source: previous Solara corrected models (11 July 2026), consolidated for the illustrative demo. Not a current verified quote or tariff.</xltc:text>
  </xltc:threadedComment>
  <xltc:threadedComment ref="B25" dT="2026-09-07T10:16:04.089" personId="{D55452D3-DE26-4C4D-9A08-A05FBFB77A43}" id="{2C753C27-FD4B-4B60-AE62-362EA320BBA9}">
    <xltc:text>Source: previous Solara corrected models (11 July 2026), consolidated for the illustrative demo. Not a current verified quote or tariff.</xltc:text>
  </xltc:threadedComment>
  <xltc:threadedComment ref="B26" dT="2026-09-07T10:16:04.089" personId="{D55452D3-DE26-4C4D-9A08-A05FBFB77A43}" id="{530C7164-D328-4B44-B78C-976F4D4F7D57}">
    <xltc:text>Source: previous Solara corrected models (11 July 2026), consolidated for the illustrative demo. Not a current verified quote or tariff.</xltc:text>
  </xltc:threadedComment>
  <xltc:threadedComment ref="B27" dT="2026-09-07T10:16:04.09" personId="{D55452D3-DE26-4C4D-9A08-A05FBFB77A43}" id="{F3546BA2-4CC9-4DC1-9B1F-1BDCADE36369}">
    <xltc:text>Source: previous Solara corrected models (11 July 2026), consolidated for the illustrative demo. Not a current verified quote or tariff.</xltc:text>
  </xltc:threadedComment>
  <xltc:threadedComment ref="B28" dT="2026-09-07T10:16:04.09" personId="{D55452D3-DE26-4C4D-9A08-A05FBFB77A43}" id="{060639F9-00F0-4B04-B378-387B0654ED1B}">
    <xltc:text>Source: previous Solara corrected models (11 July 2026), consolidated for the illustrative demo. New demonstration assumption. Not a current verified quote or tariff.</xltc:text>
  </xltc:threadedComment>
  <xltc:threadedComment ref="B29" dT="2026-09-07T10:16:04.09" personId="{D55452D3-DE26-4C4D-9A08-A05FBFB77A43}" id="{157E1268-03C3-4E4B-ACD9-914B86DC52BA}">
    <xltc:text>Source: previous Solara corrected models (11 July 2026), consolidated for the illustrative demo. New demonstration assumption. Not a current verified quote or tariff.</xltc:text>
  </xltc:threadedComment>
  <xltc:threadedComment ref="B30" dT="2026-09-07T10:16:04.09" personId="{D55452D3-DE26-4C4D-9A08-A05FBFB77A43}" id="{4A4AB9B9-6BD0-4937-A85E-E67C6CA648CE}">
    <xltc:text>Source: previous Solara corrected models (11 July 2026), consolidated for the illustrative demo. Not a current verified quote or tariff.</xltc:text>
  </xltc:threadedComment>
  <xltc:threadedComment ref="B31" dT="2026-09-07T10:16:04.091" personId="{D55452D3-DE26-4C4D-9A08-A05FBFB77A43}" id="{BF36D8A5-B603-4CAB-8642-766F53918D64}">
    <xltc:text>Source: previous Solara corrected models (11 July 2026), consolidated for the illustrative demo. Not a current verified quote or tariff.</xltc:text>
  </xltc:threadedComment>
  <xltc:threadedComment ref="B32" dT="2026-09-07T10:16:04.091" personId="{D55452D3-DE26-4C4D-9A08-A05FBFB77A43}" id="{6CE4E76E-A635-4030-978F-EB9DF1A19C3C}">
    <xltc:text>Source: previous Solara corrected models (11 July 2026), consolidated for the illustrative demo. Not a current verified quote or tariff.</xltc:text>
  </xltc:threadedComment>
  <xltc:threadedComment ref="B33" dT="2026-09-07T10:16:04.091" personId="{D55452D3-DE26-4C4D-9A08-A05FBFB77A43}" id="{E86BF30B-0E10-4227-986E-6C595819EF4B}">
    <xltc:text>Source: previous Solara corrected models (11 July 2026), consolidated for the illustrative demo. Not a current verified quote or tariff.</xltc:text>
  </xltc:threadedComment>
  <xltc:threadedComment ref="B34" dT="2026-09-07T10:16:04.091" personId="{D55452D3-DE26-4C4D-9A08-A05FBFB77A43}" id="{8807C43C-69A3-4D7F-B0F5-517CC9D0366F}">
    <xltc:text>Source: previous Solara corrected models (11 July 2026), consolidated for the illustrative demo. Not a current verified quote or tariff.</xltc:text>
  </xltc:threadedComment>
  <xltc:threadedComment ref="B35" dT="2026-09-07T10:16:04.092" personId="{D55452D3-DE26-4C4D-9A08-A05FBFB77A43}" id="{7376AF12-4BAC-4CA0-8377-68A8949F1F43}">
    <xltc:text>Source: previous Solara corrected models (11 July 2026), consolidated for the illustrative demo. Not a current verified quote or tariff.</xltc:text>
  </xltc:threadedComment>
  <xltc:threadedComment ref="B36" dT="2026-09-07T10:16:04.092" personId="{D55452D3-DE26-4C4D-9A08-A05FBFB77A43}" id="{63AB72EB-31F4-4FB2-842B-F50EA3CCB76C}">
    <xltc:text>Source: previous Solara corrected models (11 July 2026), consolidated for the illustrative demo. Not a current verified quote or tariff.</xltc:text>
  </xltc:threadedComment>
  <xltc:threadedComment ref="B37" dT="2026-09-07T10:16:04.092" personId="{D55452D3-DE26-4C4D-9A08-A05FBFB77A43}" id="{77DBBFCE-6C99-48CF-A642-62E36DFD618C}">
    <xltc:text>Source: previous Solara corrected models (11 July 2026), consolidated for the illustrative demo. Not a current verified quote or tariff.</xltc:text>
  </xltc:threadedComment>
  <xltc:threadedComment ref="B38" dT="2026-09-07T10:16:04.092" personId="{D55452D3-DE26-4C4D-9A08-A05FBFB77A43}" id="{7DC05C44-D419-47BD-9799-04C19EBCAFB0}">
    <xltc:text>Source: previous Solara corrected models (11 July 2026), consolidated for the illustrative demo. Not a current verified quote or tariff.</xltc:text>
  </xltc:threadedComment>
  <xltc:threadedComment ref="B39" dT="2026-09-07T10:16:04.093" personId="{D55452D3-DE26-4C4D-9A08-A05FBFB77A43}" id="{2A7918CC-24F2-4863-81C7-56040743EF22}">
    <xltc:text>Source: previous Solara corrected models (11 July 2026), consolidated for the illustrative demo. Not a current verified quote or tariff.</xltc:text>
  </xltc:threadedComment>
  <xltc:threadedComment ref="B40" dT="2026-09-07T10:16:04.093" personId="{D55452D3-DE26-4C4D-9A08-A05FBFB77A43}" id="{236E7850-1655-4A32-9E77-F02DCCFAC7D5}">
    <xltc:text>Source: previous Solara corrected models (11 July 2026), consolidated for the illustrative demo. Not a current verified quote or tariff.</xltc:text>
  </xltc:threadedComment>
  <xltc:threadedComment ref="B41" dT="2026-09-07T10:16:04.093" personId="{D55452D3-DE26-4C4D-9A08-A05FBFB77A43}" id="{68E86BB9-2CF0-4CAB-87D5-BA9C17CB8475}">
    <xltc:text>Source: previous Solara corrected models (11 July 2026), consolidated for the illustrative demo. Not a current verified quote or tariff.</xltc:text>
  </xltc:threadedComment>
  <xltc:threadedComment ref="B42" dT="2026-09-07T10:16:04.094" personId="{D55452D3-DE26-4C4D-9A08-A05FBFB77A43}" id="{5057FBBE-FD12-42A4-8E06-C930E8E9AB1F}">
    <xltc:text>Source: previous Solara corrected models (11 July 2026), consolidated for the illustrative demo. Not a current verified quote or tariff.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720d2c101034bbb" /><Relationship Type="http://schemas.openxmlformats.org/officeDocument/2006/relationships/vmlDrawing" Target="/xl/drawings/vmldrawing.vml" Id="R2b54347ea0ba4208" /><Relationship Type="http://schemas.microsoft.com/office/2017/10/relationships/threadedComment" Target="/xl/threadedcomments/threadedcomment.xml" Id="Rd601bdc068ac4a1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5" hidden="0" customWidth="1"/>
    <x:col min="3" max="3" width="22" hidden="0" customWidth="1"/>
    <x:col min="4" max="4" width="22" hidden="0" customWidth="1"/>
  </x:cols>
  <x:sheetData>
    <x:row r="1" ht="26" customHeight="1">
      <x:c r="A1" s="3" t="str">
        <x:v>SOLARA | Advisory workbench</x:v>
      </x:c>
      <x:c r="B1" s="3"/>
      <x:c r="C1" s="3"/>
      <x:c r="D1" s="3"/>
    </x:row>
    <x:row r="2" ht="26" customHeight="1">
      <x:c r="A2" s="3"/>
      <x:c r="B2" s="3"/>
      <x:c r="C2" s="3"/>
      <x:c r="D2" s="3"/>
    </x:row>
    <x:row r="3" ht="24" customHeight="1">
      <x:c r="A3" s="1"/>
      <x:c r="B3" s="1"/>
      <x:c r="C3" s="1"/>
      <x:c r="D3" s="1"/>
    </x:row>
    <x:row r="4" ht="42" customHeight="1">
      <x:c r="A4" s="19" t="str">
        <x:v>Consolidated demo model | 7 September 2026 | 25 operating years | Local currency, year-end cash flows</x:v>
      </x:c>
      <x:c r="B4" s="19"/>
      <x:c r="C4" s="19"/>
      <x:c r="D4" s="19"/>
    </x:row>
    <x:row r="5" ht="24" customHeight="1">
      <x:c r="A5" s="1"/>
      <x:c r="B5" s="1"/>
      <x:c r="C5" s="1"/>
      <x:c r="D5" s="1"/>
    </x:row>
    <x:row r="6" ht="32" customHeight="1">
      <x:c r="A6" s="6" t="str">
        <x:v>Key result</x:v>
      </x:c>
      <x:c r="B6" s="6" t="str">
        <x:v>Value</x:v>
      </x:c>
      <x:c r="C6" s="6" t="str">
        <x:v>Units</x:v>
      </x:c>
      <x:c r="D6" s="6" t="str"/>
    </x:row>
    <x:row r="7" ht="24" customHeight="1">
      <x:c r="A7" s="1" t="str">
        <x:v>Installed DC capacity</x:v>
      </x:c>
      <x:c r="B7" s="20" t="n">
        <x:f>'Fast Estimate'!B5</x:f>
        <x:v>245.3</x:v>
      </x:c>
      <x:c r="C7" s="1" t="str">
        <x:v>kWp</x:v>
      </x:c>
      <x:c r="D7" s="1"/>
    </x:row>
    <x:row r="8" ht="24" customHeight="1">
      <x:c r="A8" s="1" t="str">
        <x:v>Initial EPC cost</x:v>
      </x:c>
      <x:c r="B8" s="20" t="n">
        <x:f>'Fast Estimate'!B9</x:f>
        <x:v>635633.625</x:v>
      </x:c>
      <x:c r="C8" s="1" t="str">
        <x:v>local</x:v>
      </x:c>
      <x:c r="D8" s="1"/>
    </x:row>
    <x:row r="9" ht="24" customHeight="1">
      <x:c r="A9" s="1" t="str">
        <x:v>Project NPV</x:v>
      </x:c>
      <x:c r="B9" s="20" t="n">
        <x:f>'Fast Estimate'!B14</x:f>
        <x:v>560404.752551004</x:v>
      </x:c>
      <x:c r="C9" s="1" t="str">
        <x:v>local</x:v>
      </x:c>
      <x:c r="D9" s="1"/>
    </x:row>
    <x:row r="10" ht="24" customHeight="1">
      <x:c r="A10" s="1" t="str">
        <x:v>Project IRR</x:v>
      </x:c>
      <x:c r="B10" s="22" t="n">
        <x:f>'Fast Estimate'!B15</x:f>
        <x:v>0.1668714981963898</x:v>
      </x:c>
      <x:c r="C10" s="1" t="str">
        <x:v>%</x:v>
      </x:c>
      <x:c r="D10" s="1"/>
    </x:row>
    <x:row r="11" ht="24" customHeight="1">
      <x:c r="A11" s="1" t="str">
        <x:v>Cash-flow payback</x:v>
      </x:c>
      <x:c r="B11" s="20" t="n">
        <x:f>'Fast Estimate'!B18</x:f>
        <x:v>6.0099345385163065</x:v>
      </x:c>
      <x:c r="C11" s="1" t="str">
        <x:v>years</x:v>
      </x:c>
      <x:c r="D11" s="1"/>
    </x:row>
    <x:row r="12" ht="38" customHeight="1">
      <x:c r="A12" s="1" t="str">
        <x:v>Screening status</x:v>
      </x:c>
      <x:c r="B12" s="29" t="str">
        <x:f>'Fast Estimate'!B25</x:f>
        <x:v>Validate inputs before a decision</x:v>
      </x:c>
      <x:c r="C12" s="24" t="str"/>
      <x:c r="D12" s="24"/>
    </x:row>
    <x:row r="13" ht="24" customHeight="1">
      <x:c r="A13" s="1"/>
      <x:c r="B13" s="1"/>
      <x:c r="C13" s="1"/>
      <x:c r="D13" s="1"/>
    </x:row>
    <x:row r="14" ht="24" customHeight="1">
      <x:c r="A14" s="1"/>
      <x:c r="B14" s="1"/>
      <x:c r="C14" s="1"/>
      <x:c r="D14" s="1"/>
    </x:row>
    <x:row r="15" ht="42" customHeight="1">
      <x:c r="A15" s="19" t="str">
        <x:v>1. Edit Inputs (blue text / amber fill). Change every money input consistently when changing currency.</x:v>
      </x:c>
      <x:c r="B15" s="19"/>
      <x:c r="C15" s="19"/>
      <x:c r="D15" s="19"/>
    </x:row>
    <x:row r="16" ht="24" customHeight="1">
      <x:c r="A16" s="1"/>
      <x:c r="B16" s="1"/>
      <x:c r="C16" s="1"/>
      <x:c r="D16" s="1"/>
    </x:row>
    <x:row r="17" ht="42" customHeight="1">
      <x:c r="A17" s="19" t="str">
        <x:v>2. Review Fast Estimate, O&amp;M and Cash Flow. Checks should read OK before interpreting outputs.</x:v>
      </x:c>
      <x:c r="B17" s="19"/>
      <x:c r="C17" s="19"/>
      <x:c r="D17" s="19"/>
    </x:row>
    <x:row r="18" ht="24" customHeight="1">
      <x:c r="A18" s="1"/>
      <x:c r="B18" s="1"/>
      <x:c r="C18" s="1"/>
      <x:c r="D18" s="1"/>
    </x:row>
    <x:row r="19" ht="42" customHeight="1">
      <x:c r="A19" s="19" t="str">
        <x:v>3. Use Proposal for client discussions. The website downloads a PDF from its current scenario. Excel is an independent editable companion, preloaded with the same demo.</x:v>
      </x:c>
      <x:c r="B19" s="19"/>
      <x:c r="C19" s="19"/>
      <x:c r="D19" s="19"/>
    </x:row>
    <x:row r="20" ht="24" customHeight="1">
      <x:c r="A20" s="1"/>
      <x:c r="B20" s="1"/>
      <x:c r="C20" s="1"/>
      <x:c r="D20" s="1"/>
    </x:row>
    <x:row r="21" ht="42" customHeight="1">
      <x:c r="A21" s="19" t="str">
        <x:v>Tax is a simplified effective-rate model, default 0%. Loan principal is straight-line. No loss carry-forward, replacement depreciation, VAT, residual value or demand-charge savings.</x:v>
      </x:c>
      <x:c r="B21" s="19"/>
      <x:c r="C21" s="19"/>
      <x:c r="D21" s="19"/>
    </x:row>
    <x:row r="22" ht="24" customHeight="1">
      <x:c r="A22" s="1"/>
      <x:c r="B22" s="1"/>
      <x:c r="C22" s="1"/>
      <x:c r="D22" s="1"/>
    </x:row>
    <x:row r="23" ht="42" customHeight="1">
      <x:c r="A23" s="19" t="str">
        <x:v>Tariff tiers are progressive. For a flat rate, make all rates equal. This is not an Egypt commercial/residential tariff calculator.</x:v>
      </x:c>
      <x:c r="B23" s="19"/>
      <x:c r="C23" s="19"/>
      <x:c r="D23" s="19"/>
    </x:row>
    <x:row r="24" ht="24" customHeight="1">
      <x:c r="A24" s="1"/>
      <x:c r="B24" s="1"/>
      <x:c r="C24" s="1"/>
      <x:c r="D24" s="1"/>
    </x:row>
    <x:row r="25" ht="42" customHeight="1">
      <x:c r="A25" s="19" t="str">
        <x:v>Sources are historical Solara planning inputs. They have not been reverified as current utility schedules or EPC quotations.</x:v>
      </x:c>
      <x:c r="B25" s="19"/>
      <x:c r="C25" s="19"/>
      <x:c r="D25" s="19"/>
    </x:row>
    <x:row r="26" ht="24" customHeight="1">
      <x:c r="A26" s="1"/>
      <x:c r="B26" s="1"/>
      <x:c r="C26" s="1"/>
      <x:c r="D26" s="1"/>
    </x:row>
    <x:row r="27" ht="42" customHeight="1">
      <x:c r="A27" s="19" t="str">
        <x:v>Blue = input | Black = formula | Green = internal sheet link. OPEX and discount rates are nominal annual assumptions.</x:v>
      </x:c>
      <x:c r="B27" s="19"/>
      <x:c r="C27" s="19"/>
      <x:c r="D27" s="19"/>
    </x:row>
    <x:row r="28" ht="24" customHeight="1">
      <x:c r="A28" s="1"/>
      <x:c r="B28" s="1"/>
      <x:c r="C28" s="1"/>
      <x:c r="D28" s="1"/>
    </x:row>
    <x:row r="29" ht="24" customHeight="1">
      <x:c r="A29" s="1"/>
      <x:c r="B29" s="1"/>
      <x:c r="C29" s="1"/>
      <x:c r="D29" s="1"/>
    </x:row>
    <x:row r="30" ht="24" customHeight="1">
      <x:c r="A30" s="1"/>
      <x:c r="B30" s="1"/>
      <x:c r="C30" s="1"/>
      <x:c r="D30" s="1"/>
    </x:row>
    <x:row r="31" ht="24" customHeight="1">
      <x:c r="A31" s="1"/>
      <x:c r="B31" s="1"/>
      <x:c r="C31" s="1"/>
      <x:c r="D31" s="1"/>
    </x:row>
  </x:sheetData>
  <x:mergeCells>
    <x:mergeCell ref="A1:D2"/>
    <x:mergeCell ref="A4:D4"/>
    <x:mergeCell ref="B12:D12"/>
    <x:mergeCell ref="A15:D15"/>
    <x:mergeCell ref="A17:D17"/>
    <x:mergeCell ref="A19:D19"/>
    <x:mergeCell ref="A21:D21"/>
    <x:mergeCell ref="A23:D23"/>
    <x:mergeCell ref="A25:D25"/>
    <x:mergeCell ref="A27:D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5" hidden="0" customWidth="1"/>
    <x:col min="3" max="3" width="22" hidden="0" customWidth="1"/>
    <x:col min="4" max="4" width="53" hidden="0" customWidth="1"/>
  </x:cols>
  <x:sheetData>
    <x:row r="1" ht="26" customHeight="1">
      <x:c r="A1" s="3" t="str">
        <x:v>SOLARA | Scenario inputs</x:v>
      </x:c>
      <x:c r="B1" s="3"/>
      <x:c r="C1" s="3"/>
      <x:c r="D1" s="3"/>
    </x:row>
    <x:row r="2" ht="26" customHeight="1">
      <x:c r="A2" s="3"/>
      <x:c r="B2" s="3"/>
      <x:c r="C2" s="3"/>
      <x:c r="D2" s="3"/>
    </x:row>
    <x:row r="3" ht="24" customHeight="1">
      <x:c r="A3" s="1"/>
      <x:c r="B3" s="1"/>
      <x:c r="C3" s="1"/>
      <x:c r="D3" s="1"/>
    </x:row>
    <x:row r="4" ht="24" customHeight="1">
      <x:c r="A4" s="1"/>
      <x:c r="B4" s="1"/>
      <x:c r="C4" s="1"/>
      <x:c r="D4" s="1"/>
    </x:row>
    <x:row r="5" ht="32" customHeight="1">
      <x:c r="A5" s="6" t="str">
        <x:v>Input</x:v>
      </x:c>
      <x:c r="B5" s="6" t="str">
        <x:v>Value</x:v>
      </x:c>
      <x:c r="C5" s="6" t="str">
        <x:v>Unit</x:v>
      </x:c>
      <x:c r="D5" s="6" t="str">
        <x:v>Basis / edit guidance</x:v>
      </x:c>
    </x:row>
    <x:row r="6" ht="42" customHeight="1">
      <x:c r="A6" s="1" t="str">
        <x:v>Annual electricity use</x:v>
      </x:c>
      <x:c r="B6" s="9" t="n">
        <x:v>553846</x:v>
      </x:c>
      <x:c r="C6" s="1" t="str">
        <x:v>kWh/year</x:v>
      </x:c>
      <x:c r="D6" s="11" t="str">
        <x:v>Demo input; see Sources and update for client.</x:v>
      </x:c>
    </x:row>
    <x:row r="7" ht="42" customHeight="1">
      <x:c r="A7" s="1" t="str">
        <x:v>Usable area</x:v>
      </x:c>
      <x:c r="B7" s="9" t="n">
        <x:v>1500</x:v>
      </x:c>
      <x:c r="C7" s="1" t="str">
        <x:v>m²</x:v>
      </x:c>
      <x:c r="D7" s="11" t="str">
        <x:v>Demo input; see Sources and update for client.</x:v>
      </x:c>
    </x:row>
    <x:row r="8" ht="42" customHeight="1">
      <x:c r="A8" s="1" t="str">
        <x:v>Target generation / annual load</x:v>
      </x:c>
      <x:c r="B8" s="12" t="n">
        <x:v>0.82</x:v>
      </x:c>
      <x:c r="C8" s="1" t="str">
        <x:v>%</x:v>
      </x:c>
      <x:c r="D8" s="11" t="str">
        <x:v>Demo input; see Sources and update for client.</x:v>
      </x:c>
    </x:row>
    <x:row r="9" ht="42" customHeight="1">
      <x:c r="A9" s="1" t="str">
        <x:v>PV consumed on site</x:v>
      </x:c>
      <x:c r="B9" s="12" t="n">
        <x:v>0.82</x:v>
      </x:c>
      <x:c r="C9" s="1" t="str">
        <x:v>%</x:v>
      </x:c>
      <x:c r="D9" s="11" t="str">
        <x:v>Demo input; see Sources and update for client.</x:v>
      </x:c>
    </x:row>
    <x:row r="10" ht="42" customHeight="1">
      <x:c r="A10" s="1" t="str">
        <x:v>Year-1 specific yield</x:v>
      </x:c>
      <x:c r="B10" s="9" t="n">
        <x:v>1850</x:v>
      </x:c>
      <x:c r="C10" s="1" t="str">
        <x:v>kWh/kWp</x:v>
      </x:c>
      <x:c r="D10" s="11" t="str">
        <x:v>Demo input; see Sources and update for client.</x:v>
      </x:c>
    </x:row>
    <x:row r="11" ht="42" customHeight="1">
      <x:c r="A11" s="1" t="str">
        <x:v>Module rating</x:v>
      </x:c>
      <x:c r="B11" s="9" t="n">
        <x:v>550</x:v>
      </x:c>
      <x:c r="C11" s="1" t="str">
        <x:v>Wp</x:v>
      </x:c>
      <x:c r="D11" s="11" t="str">
        <x:v>Demo input; see Sources and update for client.</x:v>
      </x:c>
    </x:row>
    <x:row r="12" ht="42" customHeight="1">
      <x:c r="A12" s="1" t="str">
        <x:v>Area per installed capacity</x:v>
      </x:c>
      <x:c r="B12" s="9" t="n">
        <x:v>6</x:v>
      </x:c>
      <x:c r="C12" s="1" t="str">
        <x:v>m²/kWp</x:v>
      </x:c>
      <x:c r="D12" s="11" t="str">
        <x:v>Demo input; see Sources and update for client.</x:v>
      </x:c>
    </x:row>
    <x:row r="13" ht="42" customHeight="1">
      <x:c r="A13" s="1" t="str">
        <x:v>Installed EPC cost</x:v>
      </x:c>
      <x:c r="B13" s="9" t="n">
        <x:v>2591.25</x:v>
      </x:c>
      <x:c r="C13" s="1" t="str">
        <x:v>/kWp</x:v>
      </x:c>
      <x:c r="D13" s="11" t="str">
        <x:v>Demo input; see Sources and update for client.</x:v>
      </x:c>
    </x:row>
    <x:row r="14" ht="42" customHeight="1">
      <x:c r="A14" s="1" t="str">
        <x:v>Upfront grant</x:v>
      </x:c>
      <x:c r="B14" s="9" t="n">
        <x:v>0</x:v>
      </x:c>
      <x:c r="C14" s="1" t="str">
        <x:v>currency</x:v>
      </x:c>
      <x:c r="D14" s="11" t="str">
        <x:v>Demo input; see Sources and update for client.</x:v>
      </x:c>
    </x:row>
    <x:row r="15" ht="42" customHeight="1">
      <x:c r="A15" s="1" t="str">
        <x:v>Project discount rate</x:v>
      </x:c>
      <x:c r="B15" s="12" t="n">
        <x:v>0.08</x:v>
      </x:c>
      <x:c r="C15" s="1" t="str">
        <x:v>%</x:v>
      </x:c>
      <x:c r="D15" s="11" t="str">
        <x:v>Demo input; see Sources and update for client.</x:v>
      </x:c>
    </x:row>
    <x:row r="16" ht="42" customHeight="1">
      <x:c r="A16" s="1" t="str">
        <x:v>Annual tariff escalation</x:v>
      </x:c>
      <x:c r="B16" s="12" t="n">
        <x:v>0.02</x:v>
      </x:c>
      <x:c r="C16" s="1" t="str">
        <x:v>%</x:v>
      </x:c>
      <x:c r="D16" s="11" t="str">
        <x:v>Demo input; see Sources and update for client.</x:v>
      </x:c>
    </x:row>
    <x:row r="17" ht="42" customHeight="1">
      <x:c r="A17" s="1" t="str">
        <x:v>Annual PV degradation</x:v>
      </x:c>
      <x:c r="B17" s="12" t="n">
        <x:v>0.005</x:v>
      </x:c>
      <x:c r="C17" s="1" t="str">
        <x:v>%</x:v>
      </x:c>
      <x:c r="D17" s="11" t="str">
        <x:v>Demo input; see Sources and update for client.</x:v>
      </x:c>
    </x:row>
    <x:row r="18" ht="42" customHeight="1">
      <x:c r="A18" s="1" t="str">
        <x:v>Approved export value</x:v>
      </x:c>
      <x:c r="B18" s="9" t="n">
        <x:v>0</x:v>
      </x:c>
      <x:c r="C18" s="1" t="str">
        <x:v>/kWh</x:v>
      </x:c>
      <x:c r="D18" s="11" t="str">
        <x:v>Demo input; see Sources and update for client.</x:v>
      </x:c>
    </x:row>
    <x:row r="19" ht="42" customHeight="1">
      <x:c r="A19" s="1" t="str">
        <x:v>Routine O&amp;M rate</x:v>
      </x:c>
      <x:c r="B19" s="9" t="n">
        <x:v>56.25</x:v>
      </x:c>
      <x:c r="C19" s="1" t="str">
        <x:v>/kWp/year</x:v>
      </x:c>
      <x:c r="D19" s="11" t="str">
        <x:v>Demo input; see Sources and update for client.</x:v>
      </x:c>
    </x:row>
    <x:row r="20" ht="42" customHeight="1">
      <x:c r="A20" s="1" t="str">
        <x:v>Cleaning visits per year</x:v>
      </x:c>
      <x:c r="B20" s="9" t="n">
        <x:v>4</x:v>
      </x:c>
      <x:c r="C20" s="1" t="str">
        <x:v>visits</x:v>
      </x:c>
      <x:c r="D20" s="11" t="str">
        <x:v>Demo input; see Sources and update for client.</x:v>
      </x:c>
    </x:row>
    <x:row r="21" ht="42" customHeight="1">
      <x:c r="A21" s="1" t="str">
        <x:v>Extra cost per cleaning</x:v>
      </x:c>
      <x:c r="B21" s="9" t="n">
        <x:v>0</x:v>
      </x:c>
      <x:c r="C21" s="1" t="str">
        <x:v>currency</x:v>
      </x:c>
      <x:c r="D21" s="11" t="str">
        <x:v>Demo input; see Sources and update for client.</x:v>
      </x:c>
    </x:row>
    <x:row r="22" ht="42" customHeight="1">
      <x:c r="A22" s="1" t="str">
        <x:v>Extra annual inspection</x:v>
      </x:c>
      <x:c r="B22" s="9" t="n">
        <x:v>0</x:v>
      </x:c>
      <x:c r="C22" s="1" t="str">
        <x:v>currency</x:v>
      </x:c>
      <x:c r="D22" s="11" t="str">
        <x:v>Demo input; see Sources and update for client.</x:v>
      </x:c>
    </x:row>
    <x:row r="23" ht="42" customHeight="1">
      <x:c r="A23" s="1" t="str">
        <x:v>Extra annual monitoring</x:v>
      </x:c>
      <x:c r="B23" s="9" t="n">
        <x:v>0</x:v>
      </x:c>
      <x:c r="C23" s="1" t="str">
        <x:v>currency</x:v>
      </x:c>
      <x:c r="D23" s="11" t="str">
        <x:v>Demo input; see Sources and update for client.</x:v>
      </x:c>
    </x:row>
    <x:row r="24" ht="42" customHeight="1">
      <x:c r="A24" s="1" t="str">
        <x:v>Annual spares allowance</x:v>
      </x:c>
      <x:c r="B24" s="9" t="n">
        <x:v>0</x:v>
      </x:c>
      <x:c r="C24" s="1" t="str">
        <x:v>currency</x:v>
      </x:c>
      <x:c r="D24" s="11" t="str">
        <x:v>Demo input; see Sources and update for client.</x:v>
      </x:c>
    </x:row>
    <x:row r="25" ht="42" customHeight="1">
      <x:c r="A25" s="1" t="str">
        <x:v>Insurance / admin of CAPEX</x:v>
      </x:c>
      <x:c r="B25" s="12" t="n">
        <x:v>0.005</x:v>
      </x:c>
      <x:c r="C25" s="1" t="str">
        <x:v>%</x:v>
      </x:c>
      <x:c r="D25" s="11" t="str">
        <x:v>Demo input; see Sources and update for client.</x:v>
      </x:c>
    </x:row>
    <x:row r="26" ht="42" customHeight="1">
      <x:c r="A26" s="1" t="str">
        <x:v>Annual lease / other OPEX</x:v>
      </x:c>
      <x:c r="B26" s="9" t="n">
        <x:v>0</x:v>
      </x:c>
      <x:c r="C26" s="1" t="str">
        <x:v>currency</x:v>
      </x:c>
      <x:c r="D26" s="11" t="str">
        <x:v>Demo input; see Sources and update for client.</x:v>
      </x:c>
    </x:row>
    <x:row r="27" ht="42" customHeight="1">
      <x:c r="A27" s="1" t="str">
        <x:v>Annual OPEX escalation</x:v>
      </x:c>
      <x:c r="B27" s="12" t="n">
        <x:v>0.02</x:v>
      </x:c>
      <x:c r="C27" s="1" t="str">
        <x:v>%</x:v>
      </x:c>
      <x:c r="D27" s="11" t="str">
        <x:v>Demo input; see Sources and update for client.</x:v>
      </x:c>
    </x:row>
    <x:row r="28" ht="42" customHeight="1">
      <x:c r="A28" s="1" t="str">
        <x:v>Inverter replacement year</x:v>
      </x:c>
      <x:c r="B28" s="9" t="n">
        <x:v>12</x:v>
      </x:c>
      <x:c r="C28" s="1" t="str">
        <x:v>year</x:v>
      </x:c>
      <x:c r="D28" s="11" t="str">
        <x:v>New illustrative allowance; replace with quote.</x:v>
      </x:c>
    </x:row>
    <x:row r="29" ht="42" customHeight="1">
      <x:c r="A29" s="1" t="str">
        <x:v>Replacement / initial CAPEX</x:v>
      </x:c>
      <x:c r="B29" s="12" t="n">
        <x:v>0.1</x:v>
      </x:c>
      <x:c r="C29" s="1" t="str">
        <x:v>%</x:v>
      </x:c>
      <x:c r="D29" s="11" t="str">
        <x:v>New illustrative allowance; replace with quote.</x:v>
      </x:c>
    </x:row>
    <x:row r="30" ht="42" customHeight="1">
      <x:c r="A30" s="1" t="str">
        <x:v>Debt / net initial cost</x:v>
      </x:c>
      <x:c r="B30" s="12" t="n">
        <x:v>0</x:v>
      </x:c>
      <x:c r="C30" s="1" t="str">
        <x:v>%</x:v>
      </x:c>
      <x:c r="D30" s="11" t="str">
        <x:v>Demo input; see Sources and update for client.</x:v>
      </x:c>
    </x:row>
    <x:row r="31" ht="42" customHeight="1">
      <x:c r="A31" s="1" t="str">
        <x:v>Annual loan interest</x:v>
      </x:c>
      <x:c r="B31" s="12" t="n">
        <x:v>0.055</x:v>
      </x:c>
      <x:c r="C31" s="1" t="str">
        <x:v>%</x:v>
      </x:c>
      <x:c r="D31" s="11" t="str">
        <x:v>Demo input; see Sources and update for client.</x:v>
      </x:c>
    </x:row>
    <x:row r="32" ht="42" customHeight="1">
      <x:c r="A32" s="1" t="str">
        <x:v>Loan tenor</x:v>
      </x:c>
      <x:c r="B32" s="9" t="n">
        <x:v>10</x:v>
      </x:c>
      <x:c r="C32" s="1" t="str">
        <x:v>years</x:v>
      </x:c>
      <x:c r="D32" s="11" t="str">
        <x:v>Demo input; see Sources and update for client.</x:v>
      </x:c>
    </x:row>
    <x:row r="33" ht="42" customHeight="1">
      <x:c r="A33" s="1" t="str">
        <x:v>Effective income tax</x:v>
      </x:c>
      <x:c r="B33" s="12" t="n">
        <x:v>0</x:v>
      </x:c>
      <x:c r="C33" s="1" t="str">
        <x:v>%</x:v>
      </x:c>
      <x:c r="D33" s="11" t="str">
        <x:v>Demo input; see Sources and update for client.</x:v>
      </x:c>
    </x:row>
    <x:row r="34" ht="42" customHeight="1">
      <x:c r="A34" s="1" t="str">
        <x:v>Straight-line depreciation</x:v>
      </x:c>
      <x:c r="B34" s="9" t="n">
        <x:v>25</x:v>
      </x:c>
      <x:c r="C34" s="1" t="str">
        <x:v>years</x:v>
      </x:c>
      <x:c r="D34" s="11" t="str">
        <x:v>Demo input; see Sources and update for client.</x:v>
      </x:c>
    </x:row>
    <x:row r="35" ht="42" customHeight="1">
      <x:c r="A35" s="1" t="str">
        <x:v>Tier 1 upper limit</x:v>
      </x:c>
      <x:c r="B35" s="9" t="n">
        <x:v>6000</x:v>
      </x:c>
      <x:c r="C35" s="1" t="str">
        <x:v>kWh/month</x:v>
      </x:c>
      <x:c r="D35" s="11" t="str">
        <x:v>Historical tariff input; verify against actual bill.</x:v>
      </x:c>
    </x:row>
    <x:row r="36" ht="42" customHeight="1">
      <x:c r="A36" s="1" t="str">
        <x:v>Tier 2 upper limit</x:v>
      </x:c>
      <x:c r="B36" s="9" t="n">
        <x:v>1000000000</x:v>
      </x:c>
      <x:c r="C36" s="1" t="str">
        <x:v>kWh/month</x:v>
      </x:c>
      <x:c r="D36" s="11" t="str">
        <x:v>Historical tariff input; verify against actual bill.</x:v>
      </x:c>
    </x:row>
    <x:row r="37" ht="42" customHeight="1">
      <x:c r="A37" s="1" t="str">
        <x:v>Tier 3 upper limit</x:v>
      </x:c>
      <x:c r="B37" s="9" t="n">
        <x:v>1000000000</x:v>
      </x:c>
      <x:c r="C37" s="1" t="str">
        <x:v>kWh/month</x:v>
      </x:c>
      <x:c r="D37" s="11" t="str">
        <x:v>Historical tariff input; verify against actual bill.</x:v>
      </x:c>
    </x:row>
    <x:row r="38" ht="42" customHeight="1">
      <x:c r="A38" s="1" t="str">
        <x:v>Tier 1 rate</x:v>
      </x:c>
      <x:c r="B38" s="9" t="n">
        <x:v>0.22</x:v>
      </x:c>
      <x:c r="C38" s="1" t="str">
        <x:v>/kWh</x:v>
      </x:c>
      <x:c r="D38" s="11" t="str">
        <x:v>Historical tariff input; verify against actual bill.</x:v>
      </x:c>
    </x:row>
    <x:row r="39" ht="42" customHeight="1">
      <x:c r="A39" s="1" t="str">
        <x:v>Tier 2 rate</x:v>
      </x:c>
      <x:c r="B39" s="9" t="n">
        <x:v>0.32</x:v>
      </x:c>
      <x:c r="C39" s="1" t="str">
        <x:v>/kWh</x:v>
      </x:c>
      <x:c r="D39" s="11" t="str">
        <x:v>Historical tariff input; verify against actual bill.</x:v>
      </x:c>
    </x:row>
    <x:row r="40" ht="42" customHeight="1">
      <x:c r="A40" s="1" t="str">
        <x:v>Tier 3 rate</x:v>
      </x:c>
      <x:c r="B40" s="9" t="n">
        <x:v>0.32</x:v>
      </x:c>
      <x:c r="C40" s="1" t="str">
        <x:v>/kWh</x:v>
      </x:c>
      <x:c r="D40" s="11" t="str">
        <x:v>Historical tariff input; verify against actual bill.</x:v>
      </x:c>
    </x:row>
    <x:row r="41" ht="42" customHeight="1">
      <x:c r="A41" s="1" t="str">
        <x:v>Tier 4 rate</x:v>
      </x:c>
      <x:c r="B41" s="9" t="n">
        <x:v>0.32</x:v>
      </x:c>
      <x:c r="C41" s="1" t="str">
        <x:v>/kWh</x:v>
      </x:c>
      <x:c r="D41" s="11" t="str">
        <x:v>Historical tariff input; verify against actual bill.</x:v>
      </x:c>
    </x:row>
    <x:row r="42" ht="42" customHeight="1">
      <x:c r="A42" s="1" t="str">
        <x:v>Variable fuel surcharge</x:v>
      </x:c>
      <x:c r="B42" s="9" t="n">
        <x:v>0</x:v>
      </x:c>
      <x:c r="C42" s="1" t="str">
        <x:v>/kWh</x:v>
      </x:c>
      <x:c r="D42" s="11" t="str">
        <x:v>Historical tariff input; verify against actual bill.</x:v>
      </x:c>
    </x:row>
    <x:row r="43" ht="24" customHeight="1">
      <x:c r="A43" s="1"/>
      <x:c r="B43" s="1"/>
      <x:c r="C43" s="1"/>
      <x:c r="D43" s="1"/>
    </x:row>
    <x:row r="44" ht="36" customHeight="1">
      <x:c r="A44" s="1" t="str">
        <x:v>Project / facility</x:v>
      </x:c>
      <x:c r="B44" s="13" t="str">
        <x:v>Al-Noor Logistics Warehouse — illustrative demo</x:v>
      </x:c>
      <x:c r="C44" s="13"/>
      <x:c r="D44" s="13"/>
    </x:row>
    <x:row r="45" ht="24" customHeight="1">
      <x:c r="A45" s="1" t="str">
        <x:v>Currency</x:v>
      </x:c>
      <x:c r="B45" s="1" t="str">
        <x:v>SAR</x:v>
      </x:c>
      <x:c r="C45" s="1"/>
      <x:c r="D45" s="1"/>
    </x:row>
    <x:row r="46" ht="24" customHeight="1">
      <x:c r="A46" s="1" t="str">
        <x:v>Inputs verified (0 = demo, 1 = reviewed)</x:v>
      </x:c>
      <x:c r="B46" s="1" t="n">
        <x:v>0</x:v>
      </x:c>
      <x:c r="C46" s="1"/>
      <x:c r="D46" s="1"/>
    </x:row>
    <x:row r="47" ht="24" customHeight="1">
      <x:c r="A47" s="1" t="str">
        <x:v>Model horizon (years)</x:v>
      </x:c>
      <x:c r="B47" s="1" t="n">
        <x:v>25</x:v>
      </x:c>
      <x:c r="C47" s="1"/>
      <x:c r="D47" s="1"/>
    </x:row>
    <x:row r="48" ht="24" customHeight="1">
      <x:c r="A48" s="1" t="str">
        <x:v>Monthly periods per year</x:v>
      </x:c>
      <x:c r="B48" s="1" t="n">
        <x:v>12</x:v>
      </x:c>
      <x:c r="C48" s="1"/>
      <x:c r="D48" s="1"/>
    </x:row>
  </x:sheetData>
  <x:mergeCells>
    <x:mergeCell ref="A1:D2"/>
    <x:mergeCell ref="B44:D44"/>
  </x:mergeCells>
  <x:dataValidations count="38">
    <x:dataValidation type="decimal" operator="between" sqref="B6">
      <x:formula1>0</x:formula1>
      <x:formula2>1000000000</x:formula2>
    </x:dataValidation>
    <x:dataValidation type="decimal" operator="between" sqref="B7">
      <x:formula1>0</x:formula1>
      <x:formula2>10000000</x:formula2>
    </x:dataValidation>
    <x:dataValidation type="decimal" operator="between" sqref="B8">
      <x:formula1>0</x:formula1>
      <x:formula2>1</x:formula2>
    </x:dataValidation>
    <x:dataValidation type="decimal" operator="between" sqref="B9">
      <x:formula1>0</x:formula1>
      <x:formula2>1</x:formula2>
    </x:dataValidation>
    <x:dataValidation type="decimal" operator="between" sqref="B10">
      <x:formula1>1</x:formula1>
      <x:formula2>3500</x:formula2>
    </x:dataValidation>
    <x:dataValidation type="decimal" operator="between" sqref="B11">
      <x:formula1>1</x:formula1>
      <x:formula2>2000</x:formula2>
    </x:dataValidation>
    <x:dataValidation type="decimal" operator="between" sqref="B12">
      <x:formula1>1</x:formula1>
      <x:formula2>100</x:formula2>
    </x:dataValidation>
    <x:dataValidation type="decimal" operator="between" sqref="B13">
      <x:formula1>1</x:formula1>
      <x:formula2>10000000</x:formula2>
    </x:dataValidation>
    <x:dataValidation type="decimal" operator="between" sqref="B14">
      <x:formula1>0</x:formula1>
      <x:formula2>1000000000000</x:formula2>
    </x:dataValidation>
    <x:dataValidation type="decimal" operator="between" sqref="B15">
      <x:formula1>0</x:formula1>
      <x:formula2>1</x:formula2>
    </x:dataValidation>
    <x:dataValidation type="decimal" operator="between" sqref="B16">
      <x:formula1>-0.2</x:formula1>
      <x:formula2>0.2</x:formula2>
    </x:dataValidation>
    <x:dataValidation type="decimal" operator="between" sqref="B17">
      <x:formula1>0</x:formula1>
      <x:formula2>0.2</x:formula2>
    </x:dataValidation>
    <x:dataValidation type="decimal" operator="between" sqref="B18">
      <x:formula1>0</x:formula1>
      <x:formula2>100</x:formula2>
    </x:dataValidation>
    <x:dataValidation type="decimal" operator="between" sqref="B19">
      <x:formula1>0</x:formula1>
      <x:formula2>10000000</x:formula2>
    </x:dataValidation>
    <x:dataValidation type="whole" operator="between" sqref="B20">
      <x:formula1>0</x:formula1>
      <x:formula2>365</x:formula2>
    </x:dataValidation>
    <x:dataValidation type="decimal" operator="between" sqref="B21">
      <x:formula1>0</x:formula1>
      <x:formula2>1000000000</x:formula2>
    </x:dataValidation>
    <x:dataValidation type="decimal" operator="between" sqref="B22">
      <x:formula1>0</x:formula1>
      <x:formula2>1000000000</x:formula2>
    </x:dataValidation>
    <x:dataValidation type="decimal" operator="between" sqref="B23">
      <x:formula1>0</x:formula1>
      <x:formula2>1000000000</x:formula2>
    </x:dataValidation>
    <x:dataValidation type="decimal" operator="between" sqref="B24">
      <x:formula1>0</x:formula1>
      <x:formula2>1000000000</x:formula2>
    </x:dataValidation>
    <x:dataValidation type="decimal" operator="between" sqref="B25">
      <x:formula1>0</x:formula1>
      <x:formula2>1</x:formula2>
    </x:dataValidation>
    <x:dataValidation type="decimal" operator="between" sqref="B26">
      <x:formula1>0</x:formula1>
      <x:formula2>10000000000</x:formula2>
    </x:dataValidation>
    <x:dataValidation type="decimal" operator="between" sqref="B27">
      <x:formula1>0</x:formula1>
      <x:formula2>0.2</x:formula2>
    </x:dataValidation>
    <x:dataValidation type="whole" operator="between" sqref="B28">
      <x:formula1>1</x:formula1>
      <x:formula2>25</x:formula2>
    </x:dataValidation>
    <x:dataValidation type="decimal" operator="between" sqref="B29">
      <x:formula1>0</x:formula1>
      <x:formula2>1</x:formula2>
    </x:dataValidation>
    <x:dataValidation type="decimal" operator="between" sqref="B30">
      <x:formula1>0</x:formula1>
      <x:formula2>0.99</x:formula2>
    </x:dataValidation>
    <x:dataValidation type="decimal" operator="between" sqref="B31">
      <x:formula1>0</x:formula1>
      <x:formula2>1</x:formula2>
    </x:dataValidation>
    <x:dataValidation type="whole" operator="between" sqref="B32">
      <x:formula1>1</x:formula1>
      <x:formula2>25</x:formula2>
    </x:dataValidation>
    <x:dataValidation type="decimal" operator="between" sqref="B33">
      <x:formula1>0</x:formula1>
      <x:formula2>0.6</x:formula2>
    </x:dataValidation>
    <x:dataValidation type="whole" operator="between" sqref="B34">
      <x:formula1>1</x:formula1>
      <x:formula2>25</x:formula2>
    </x:dataValidation>
    <x:dataValidation type="decimal" operator="between" sqref="B35">
      <x:formula1>0</x:formula1>
      <x:formula2>1000000000</x:formula2>
    </x:dataValidation>
    <x:dataValidation type="decimal" operator="between" sqref="B36">
      <x:formula1>0</x:formula1>
      <x:formula2>1000000000</x:formula2>
    </x:dataValidation>
    <x:dataValidation type="decimal" operator="between" sqref="B37">
      <x:formula1>0</x:formula1>
      <x:formula2>1000000000</x:formula2>
    </x:dataValidation>
    <x:dataValidation type="decimal" operator="between" sqref="B38">
      <x:formula1>0</x:formula1>
      <x:formula2>100</x:formula2>
    </x:dataValidation>
    <x:dataValidation type="decimal" operator="between" sqref="B39">
      <x:formula1>0</x:formula1>
      <x:formula2>100</x:formula2>
    </x:dataValidation>
    <x:dataValidation type="decimal" operator="between" sqref="B40">
      <x:formula1>0</x:formula1>
      <x:formula2>100</x:formula2>
    </x:dataValidation>
    <x:dataValidation type="decimal" operator="between" sqref="B41">
      <x:formula1>0</x:formula1>
      <x:formula2>100</x:formula2>
    </x:dataValidation>
    <x:dataValidation type="decimal" operator="between" sqref="B42">
      <x:formula1>0</x:formula1>
      <x:formula2>100</x:formula2>
    </x:dataValidation>
    <x:dataValidation type="list" sqref="B45">
      <x:formula1>"SAR,AED,EGP"</x:formula1>
    </x:dataValidation>
  </x:dataValidations>
  <x:pageMargins left="0.7" right="0.7" top="0.75" bottom="0.75" header="0.3" footer="0.3"/>
  <x:legacyDrawing xmlns:r="http://schemas.openxmlformats.org/officeDocument/2006/relationships" r:id="R2b54347ea0ba4208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5" hidden="0" customWidth="1"/>
    <x:col min="3" max="3" width="22" hidden="0" customWidth="1"/>
    <x:col min="4" max="4" width="22" hidden="0" customWidth="1"/>
  </x:cols>
  <x:sheetData>
    <x:row r="1" ht="26" customHeight="1">
      <x:c r="A1" s="3" t="str">
        <x:v>SOLARA | Investment case</x:v>
      </x:c>
      <x:c r="B1" s="3"/>
      <x:c r="C1" s="3"/>
      <x:c r="D1" s="3"/>
    </x:row>
    <x:row r="2" ht="26" customHeight="1">
      <x:c r="A2" s="3"/>
      <x:c r="B2" s="3"/>
      <x:c r="C2" s="3"/>
      <x:c r="D2" s="3"/>
    </x:row>
    <x:row r="3" ht="24" customHeight="1">
      <x:c r="A3" s="1"/>
      <x:c r="B3" s="1"/>
      <x:c r="C3" s="1"/>
      <x:c r="D3" s="1"/>
    </x:row>
    <x:row r="4" ht="32" customHeight="1">
      <x:c r="A4" s="6" t="str">
        <x:v>Metric</x:v>
      </x:c>
      <x:c r="B4" s="6" t="str">
        <x:v>Result</x:v>
      </x:c>
      <x:c r="C4" s="6" t="str">
        <x:v>Units</x:v>
      </x:c>
      <x:c r="D4" s="6" t="str"/>
    </x:row>
    <x:row r="5" ht="24" customHeight="1">
      <x:c r="A5" s="1" t="str">
        <x:v>Installed DC capacity</x:v>
      </x:c>
      <x:c r="B5" s="20" t="n">
        <x:f>B6*'Inputs'!$B$11/1000</x:f>
        <x:v>245.3</x:v>
      </x:c>
      <x:c r="C5" s="1" t="str">
        <x:v>kWp</x:v>
      </x:c>
      <x:c r="D5" s="1"/>
    </x:row>
    <x:row r="6" ht="24" customHeight="1">
      <x:c r="A6" s="1" t="str">
        <x:v>Whole modules</x:v>
      </x:c>
      <x:c r="B6" s="20" t="n">
        <x:f>ROUNDDOWN(MIN('Inputs'!$B$6*'Inputs'!$B$8/'Inputs'!$B$10,'Inputs'!$B$7/'Inputs'!$B$12)*1000/'Inputs'!$B$11,0)</x:f>
        <x:v>446</x:v>
      </x:c>
      <x:c r="C6" s="1" t="str">
        <x:v>modules</x:v>
      </x:c>
      <x:c r="D6" s="1"/>
    </x:row>
    <x:row r="7" ht="24" customHeight="1">
      <x:c r="A7" s="1" t="str">
        <x:v>Required area</x:v>
      </x:c>
      <x:c r="B7" s="20" t="n">
        <x:f>B5*'Inputs'!$B$12</x:f>
        <x:v>1471.8000000000002</x:v>
      </x:c>
      <x:c r="C7" s="1" t="str">
        <x:v>m²</x:v>
      </x:c>
      <x:c r="D7" s="1"/>
    </x:row>
    <x:row r="8" ht="24" customHeight="1">
      <x:c r="A8" s="1" t="str">
        <x:v>Target capacity before area limit</x:v>
      </x:c>
      <x:c r="B8" s="20" t="n">
        <x:f>'Inputs'!$B$6*'Inputs'!$B$8/'Inputs'!$B$10</x:f>
        <x:v>245.48849729729727</x:v>
      </x:c>
      <x:c r="C8" s="1" t="str">
        <x:v>kWp</x:v>
      </x:c>
      <x:c r="D8" s="1"/>
    </x:row>
    <x:row r="9" ht="24" customHeight="1">
      <x:c r="A9" s="1" t="str">
        <x:v>Initial EPC cost</x:v>
      </x:c>
      <x:c r="B9" s="20" t="n">
        <x:f>B5*'Inputs'!$B$13</x:f>
        <x:v>635633.625</x:v>
      </x:c>
      <x:c r="C9" s="1" t="str">
        <x:v>local</x:v>
      </x:c>
      <x:c r="D9" s="1"/>
    </x:row>
    <x:row r="10" ht="24" customHeight="1">
      <x:c r="A10" s="1" t="str">
        <x:v>Net initial cost</x:v>
      </x:c>
      <x:c r="B10" s="20" t="n">
        <x:f>B9-'Inputs'!$B$14</x:f>
        <x:v>635633.625</x:v>
      </x:c>
      <x:c r="C10" s="1" t="str">
        <x:v>local</x:v>
      </x:c>
      <x:c r="D10" s="1"/>
    </x:row>
    <x:row r="11" ht="24" customHeight="1">
      <x:c r="A11" s="1" t="str">
        <x:v>Initial debt</x:v>
      </x:c>
      <x:c r="B11" s="20" t="n">
        <x:f>B10*'Inputs'!$B$30</x:f>
        <x:v>0</x:v>
      </x:c>
      <x:c r="C11" s="1" t="str">
        <x:v>local</x:v>
      </x:c>
      <x:c r="D11" s="1"/>
    </x:row>
    <x:row r="12" ht="24" customHeight="1">
      <x:c r="A12" s="1" t="str">
        <x:v>Year-1 O&amp;M</x:v>
      </x:c>
      <x:c r="B12" s="20" t="n">
        <x:f>'O&amp;M'!B11</x:f>
        <x:v>13798.125</x:v>
      </x:c>
      <x:c r="C12" s="1" t="str">
        <x:v>local</x:v>
      </x:c>
      <x:c r="D12" s="1"/>
    </x:row>
    <x:row r="13" ht="24" customHeight="1">
      <x:c r="A13" s="1"/>
      <x:c r="B13" s="21"/>
      <x:c r="C13" s="1"/>
      <x:c r="D13" s="1"/>
    </x:row>
    <x:row r="14" ht="24" customHeight="1">
      <x:c r="A14" s="1" t="str">
        <x:v>Project NPV</x:v>
      </x:c>
      <x:c r="B14" s="20" t="n">
        <x:f>SUM('Cash Flow'!V6:V31)</x:f>
        <x:v>560404.752551004</x:v>
      </x:c>
      <x:c r="C14" s="1" t="str">
        <x:v>local</x:v>
      </x:c>
      <x:c r="D14" s="1"/>
    </x:row>
    <x:row r="15" ht="24" customHeight="1">
      <x:c r="A15" s="1" t="str">
        <x:v>Project IRR</x:v>
      </x:c>
      <x:c r="B15" s="22" t="n">
        <x:f>IF(AND(SUM('Cash Flow'!Z7:Z31)=1,COUNTIF('Cash Flow'!T6:T31,"&lt;0")&gt;0,COUNTIF('Cash Flow'!T6:T31,"&gt;0")&gt;0),IFERROR(IRR('Cash Flow'!T6:T31),"Not defined"),"Not uniquely defined")</x:f>
        <x:v>0.1668714981963898</x:v>
      </x:c>
      <x:c r="C15" s="1" t="str">
        <x:v>%</x:v>
      </x:c>
      <x:c r="D15" s="1"/>
    </x:row>
    <x:row r="16" ht="24" customHeight="1">
      <x:c r="A16" s="1" t="str">
        <x:v>Equity IRR</x:v>
      </x:c>
      <x:c r="B16" s="22" t="n">
        <x:f>IF(AND(SUM('Cash Flow'!AB7:AB31)=1,COUNTIF('Cash Flow'!U6:U31,"&lt;0")&gt;0,COUNTIF('Cash Flow'!U6:U31,"&gt;0")&gt;0),IFERROR(IRR('Cash Flow'!U6:U31),"Not defined"),"Not uniquely defined")</x:f>
        <x:v>0.1668714981963898</x:v>
      </x:c>
      <x:c r="C16" s="1" t="str">
        <x:v>%</x:v>
      </x:c>
      <x:c r="D16" s="1"/>
    </x:row>
    <x:row r="17" ht="24" customHeight="1">
      <x:c r="A17" s="1" t="str">
        <x:v>Simple payback (year-1 CF)</x:v>
      </x:c>
      <x:c r="B17" s="20" t="n">
        <x:f>IF('Cash Flow'!T7&gt;0,B10/'Cash Flow'!T7,"Not reached")</x:f>
        <x:v>6.225468261523723</x:v>
      </x:c>
      <x:c r="C17" s="1" t="str">
        <x:v>years</x:v>
      </x:c>
      <x:c r="D17" s="1"/>
    </x:row>
    <x:row r="18" ht="24" customHeight="1">
      <x:c r="A18" s="1" t="str">
        <x:v>Cash-flow payback</x:v>
      </x:c>
      <x:c r="B18" s="20" t="n">
        <x:f>IF(MIN('Cash Flow'!AC7:AC31)&gt;25,"Not reached",MIN('Cash Flow'!AC7:AC31))</x:f>
        <x:v>6.0099345385163065</x:v>
      </x:c>
      <x:c r="C18" s="1" t="str">
        <x:v>years</x:v>
      </x:c>
      <x:c r="D18" s="1"/>
    </x:row>
    <x:row r="19" ht="24" customHeight="1">
      <x:c r="A19" s="1" t="str">
        <x:v>Discounted payback</x:v>
      </x:c>
      <x:c r="B19" s="20" t="n">
        <x:f>IF(MIN('Cash Flow'!AD7:AD31)&gt;25,"Not reached",MIN('Cash Flow'!AD7:AD31))</x:f>
        <x:v>8.397087367990007</x:v>
      </x:c>
      <x:c r="C19" s="1" t="str">
        <x:v>years</x:v>
      </x:c>
      <x:c r="D19" s="1"/>
    </x:row>
    <x:row r="20" ht="24" customHeight="1">
      <x:c r="A20" s="1" t="str">
        <x:v>25-year net cash benefit</x:v>
      </x:c>
      <x:c r="B20" s="20" t="n">
        <x:f>SUM('Cash Flow'!T6:T31)</x:f>
        <x:v>2316934.0120088872</x:v>
      </x:c>
      <x:c r="C20" s="1" t="str">
        <x:v>local</x:v>
      </x:c>
      <x:c r="D20" s="1"/>
    </x:row>
    <x:row r="21" ht="24" customHeight="1">
      <x:c r="A21" s="1" t="str">
        <x:v>Year-1 PV generation</x:v>
      </x:c>
      <x:c r="B21" s="20" t="n">
        <x:f>'Cash Flow'!B7</x:f>
        <x:v>453805</x:v>
      </x:c>
      <x:c r="C21" s="1" t="str">
        <x:v>kWh</x:v>
      </x:c>
      <x:c r="D21" s="1"/>
    </x:row>
    <x:row r="22" ht="24" customHeight="1">
      <x:c r="A22" s="1" t="str">
        <x:v>Year-1 self-consumed PV</x:v>
      </x:c>
      <x:c r="B22" s="20" t="n">
        <x:f>'Cash Flow'!C7</x:f>
        <x:v>372120.1</x:v>
      </x:c>
      <x:c r="C22" s="1" t="str">
        <x:v>kWh</x:v>
      </x:c>
      <x:c r="D22" s="1"/>
    </x:row>
    <x:row r="23" ht="24" customHeight="1">
      <x:c r="A23" s="1" t="str">
        <x:v>Year-1 avoided bill</x:v>
      </x:c>
      <x:c r="B23" s="20" t="n">
        <x:f>'Cash Flow'!F7</x:f>
        <x:v>119078.432</x:v>
      </x:c>
      <x:c r="C23" s="1" t="str">
        <x:v>local</x:v>
      </x:c>
      <x:c r="D23" s="1"/>
    </x:row>
    <x:row r="24" ht="24" customHeight="1">
      <x:c r="A24" s="1" t="str">
        <x:v>Year-1 project cash flow</x:v>
      </x:c>
      <x:c r="B24" s="20" t="n">
        <x:f>'Cash Flow'!T7</x:f>
        <x:v>102102.138875</x:v>
      </x:c>
      <x:c r="C24" s="1" t="str">
        <x:v>local</x:v>
      </x:c>
      <x:c r="D24" s="1"/>
    </x:row>
    <x:row r="25" ht="42" customHeight="1">
      <x:c r="A25" s="1" t="str">
        <x:v>Screening status</x:v>
      </x:c>
      <x:c r="B25" s="23" t="str">
        <x:f>IF('Checks'!G4&lt;&gt;"OK","FIX INPUTS / CHECKS",IF(B5=0,"No installable capacity",IF('Inputs'!B46&lt;&gt;1,"Validate inputs before a decision",IF(B14&gt;0,"Positive NPV - advance to feasibility","Non-positive NPV - revise or reject"))))</x:f>
        <x:v>Validate inputs before a decision</x:v>
      </x:c>
      <x:c r="C25" s="24" t="str"/>
      <x:c r="D25" s="24"/>
    </x:row>
    <x:row r="26" ht="24" customHeight="1">
      <x:c r="A26" s="1" t="str">
        <x:v>Discounted generation LCOE</x:v>
      </x:c>
      <x:c r="B26" s="20" t="n">
        <x:f>IF(SUM('Cash Flow'!AF7:AF31)&gt;0,(B9+SUM('Cash Flow'!AE7:AE31))/SUM('Cash Flow'!AF7:AF31),"Not defined")</x:f>
        <x:v>0.1896694576159991</x:v>
      </x:c>
      <x:c r="C26" s="1" t="str">
        <x:v>local/kWh</x:v>
      </x:c>
      <x:c r="D26" s="1"/>
    </x:row>
    <x:row r="27" ht="24" customHeight="1">
      <x:c r="A27" s="1"/>
      <x:c r="B27" s="1"/>
      <x:c r="C27" s="1"/>
      <x:c r="D27" s="1"/>
    </x:row>
    <x:row r="28" ht="24" customHeight="1">
      <x:c r="A28" s="1"/>
      <x:c r="B28" s="1"/>
      <x:c r="C28" s="1"/>
      <x:c r="D28" s="1"/>
    </x:row>
    <x:row r="29" ht="42" customHeight="1">
      <x:c r="A29" s="19" t="str">
        <x:v>Sizing targets PV generation as a share of load. Self-consumption is a separate fraction of PV output. Whole-module rounding always rounds down to respect area and target.</x:v>
      </x:c>
      <x:c r="B29" s="19"/>
      <x:c r="C29" s="19"/>
      <x:c r="D29" s="19"/>
    </x:row>
    <x:row r="30" ht="24" customHeight="1">
      <x:c r="A30" s="1"/>
      <x:c r="B30" s="1"/>
      <x:c r="C30" s="1"/>
      <x:c r="D30" s="1"/>
    </x:row>
    <x:row r="31" ht="42" customHeight="1">
      <x:c r="A31" s="19" t="str">
        <x:v>Screening assumes identical monthly load and solar allocation. A positive NPV does not establish technical, grid or investment approval.</x:v>
      </x:c>
      <x:c r="B31" s="19"/>
      <x:c r="C31" s="19"/>
      <x:c r="D31" s="19"/>
    </x:row>
    <x:row r="32" ht="24" customHeight="1">
      <x:c r="A32" s="1"/>
      <x:c r="B32" s="1"/>
      <x:c r="C32" s="1"/>
      <x:c r="D32" s="1"/>
    </x:row>
    <x:row r="33" ht="42" customHeight="1">
      <x:c r="A33" s="19" t="str">
        <x:v>Zero roof area means zero installable capacity. Inputs are local currency throughout; changing the currency label does not convert values.</x:v>
      </x:c>
      <x:c r="B33" s="19"/>
      <x:c r="C33" s="19"/>
      <x:c r="D33" s="19"/>
    </x:row>
    <x:row r="34" ht="24" customHeight="1">
      <x:c r="A34" s="1"/>
      <x:c r="B34" s="1"/>
      <x:c r="C34" s="1"/>
      <x:c r="D34" s="1"/>
    </x:row>
    <x:row r="35" ht="24" customHeight="1">
      <x:c r="A35" s="1"/>
      <x:c r="B35" s="1"/>
      <x:c r="C35" s="1"/>
      <x:c r="D35" s="1"/>
    </x:row>
    <x:row r="36" ht="24" customHeight="1">
      <x:c r="A36" s="1"/>
      <x:c r="B36" s="1"/>
      <x:c r="C36" s="1"/>
      <x:c r="D36" s="1"/>
    </x:row>
  </x:sheetData>
  <x:mergeCells>
    <x:mergeCell ref="A1:D2"/>
    <x:mergeCell ref="B25:D25"/>
    <x:mergeCell ref="A29:D29"/>
    <x:mergeCell ref="A31:D31"/>
    <x:mergeCell ref="A33:D3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5" hidden="0" customWidth="1"/>
    <x:col min="3" max="3" width="22" hidden="0" customWidth="1"/>
    <x:col min="4" max="4" width="22" hidden="0" customWidth="1"/>
  </x:cols>
  <x:sheetData>
    <x:row r="1" ht="26" customHeight="1">
      <x:c r="A1" s="3" t="str">
        <x:v>SOLARA | O&amp;M and replacement</x:v>
      </x:c>
      <x:c r="B1" s="3"/>
      <x:c r="C1" s="3"/>
      <x:c r="D1" s="3"/>
    </x:row>
    <x:row r="2" ht="26" customHeight="1">
      <x:c r="A2" s="3"/>
      <x:c r="B2" s="3"/>
      <x:c r="C2" s="3"/>
      <x:c r="D2" s="3"/>
    </x:row>
    <x:row r="3" ht="24" customHeight="1">
      <x:c r="A3" s="1"/>
      <x:c r="B3" s="1"/>
      <x:c r="C3" s="1"/>
      <x:c r="D3" s="1"/>
    </x:row>
    <x:row r="4" ht="24" customHeight="1">
      <x:c r="A4" s="1"/>
      <x:c r="B4" s="1"/>
      <x:c r="C4" s="1"/>
      <x:c r="D4" s="1"/>
    </x:row>
    <x:row r="5" ht="32" customHeight="1">
      <x:c r="A5" s="6" t="str">
        <x:v>Component</x:v>
      </x:c>
      <x:c r="B5" s="6" t="str">
        <x:v>Year-1 cost</x:v>
      </x:c>
      <x:c r="C5" s="6" t="str">
        <x:v>Basis</x:v>
      </x:c>
      <x:c r="D5" s="6" t="str"/>
    </x:row>
    <x:row r="6" ht="24" customHeight="1">
      <x:c r="A6" s="1" t="str">
        <x:v>Routine O&amp;M</x:v>
      </x:c>
      <x:c r="B6" s="16" t="n">
        <x:f>'Fast Estimate'!B5*'Inputs'!$B$19</x:f>
        <x:v>13798.125</x:v>
      </x:c>
      <x:c r="C6" s="1"/>
      <x:c r="D6" s="1"/>
    </x:row>
    <x:row r="7" ht="24" customHeight="1">
      <x:c r="A7" s="1" t="str">
        <x:v>Additional cleaning</x:v>
      </x:c>
      <x:c r="B7" s="16" t="n">
        <x:f>'Inputs'!$B$20*'Inputs'!$B$21</x:f>
        <x:v>0</x:v>
      </x:c>
      <x:c r="C7" s="1"/>
      <x:c r="D7" s="1"/>
    </x:row>
    <x:row r="8" ht="24" customHeight="1">
      <x:c r="A8" s="1" t="str">
        <x:v>Additional inspection</x:v>
      </x:c>
      <x:c r="B8" s="16" t="n">
        <x:f>'Inputs'!$B$22</x:f>
        <x:v>0</x:v>
      </x:c>
      <x:c r="C8" s="1"/>
      <x:c r="D8" s="1"/>
    </x:row>
    <x:row r="9" ht="24" customHeight="1">
      <x:c r="A9" s="1" t="str">
        <x:v>Additional monitoring</x:v>
      </x:c>
      <x:c r="B9" s="16" t="n">
        <x:f>'Inputs'!$B$23</x:f>
        <x:v>0</x:v>
      </x:c>
      <x:c r="C9" s="1"/>
      <x:c r="D9" s="1"/>
    </x:row>
    <x:row r="10" ht="24" customHeight="1">
      <x:c r="A10" s="1" t="str">
        <x:v>Spares allowance</x:v>
      </x:c>
      <x:c r="B10" s="16" t="n">
        <x:f>'Inputs'!$B$24</x:f>
        <x:v>0</x:v>
      </x:c>
      <x:c r="C10" s="1"/>
      <x:c r="D10" s="1"/>
    </x:row>
    <x:row r="11" ht="24" customHeight="1">
      <x:c r="A11" s="1" t="str">
        <x:v>TOTAL YEAR-1 O&amp;M</x:v>
      </x:c>
      <x:c r="B11" s="17" t="n">
        <x:f>SUM(B6:B10)</x:f>
        <x:v>13798.125</x:v>
      </x:c>
      <x:c r="C11" s="1"/>
      <x:c r="D11" s="1"/>
    </x:row>
    <x:row r="12" ht="24" customHeight="1">
      <x:c r="A12" s="1" t="str">
        <x:v>25-year O&amp;M</x:v>
      </x:c>
      <x:c r="B12" s="16" t="n">
        <x:f>SUM('Cash Flow'!H7:H31)</x:f>
        <x:v>441958.07936868264</x:v>
      </x:c>
      <x:c r="C12" s="1"/>
      <x:c r="D12" s="1"/>
    </x:row>
    <x:row r="13" ht="24" customHeight="1">
      <x:c r="A13" s="1" t="str">
        <x:v>Replacement year</x:v>
      </x:c>
      <x:c r="B13" s="16" t="n">
        <x:f>'Inputs'!$B$28</x:f>
        <x:v>12</x:v>
      </x:c>
      <x:c r="C13" s="1"/>
      <x:c r="D13" s="1"/>
    </x:row>
    <x:row r="14" ht="24" customHeight="1">
      <x:c r="A14" s="1" t="str">
        <x:v>Nominal replacement cost</x:v>
      </x:c>
      <x:c r="B14" s="16" t="n">
        <x:f>SUM('Cash Flow'!K7:K31)</x:f>
        <x:v>79033.05188767609</x:v>
      </x:c>
      <x:c r="C14" s="1"/>
      <x:c r="D14" s="1"/>
    </x:row>
    <x:row r="15" ht="24" customHeight="1">
      <x:c r="A15" s="1" t="str">
        <x:v>Year-1 insurance / admin</x:v>
      </x:c>
      <x:c r="B15" s="16" t="n">
        <x:f>'Cash Flow'!I7</x:f>
        <x:v>3178.168125</x:v>
      </x:c>
      <x:c r="C15" s="1"/>
      <x:c r="D15" s="1"/>
    </x:row>
    <x:row r="16" ht="24" customHeight="1">
      <x:c r="A16" s="1" t="str">
        <x:v>Year-1 lease / other</x:v>
      </x:c>
      <x:c r="B16" s="16" t="n">
        <x:f>'Cash Flow'!J7</x:f>
        <x:v>0</x:v>
      </x:c>
      <x:c r="C16" s="1"/>
      <x:c r="D16" s="1"/>
    </x:row>
    <x:row r="17" ht="24" customHeight="1">
      <x:c r="A17" s="1"/>
      <x:c r="B17" s="1"/>
      <x:c r="C17" s="1"/>
      <x:c r="D17" s="1"/>
    </x:row>
    <x:row r="18" ht="24" customHeight="1">
      <x:c r="A18" s="1"/>
      <x:c r="B18" s="1"/>
      <x:c r="C18" s="1"/>
      <x:c r="D18" s="1"/>
    </x:row>
    <x:row r="19" ht="42" customHeight="1">
      <x:c r="A19" s="19" t="str">
        <x:v>Base contract plus additional services. Leave add-ons at zero when included in the routine O&amp;M quote.</x:v>
      </x:c>
      <x:c r="B19" s="19"/>
      <x:c r="C19" s="19"/>
      <x:c r="D19" s="19"/>
    </x:row>
    <x:row r="20" ht="24" customHeight="1">
      <x:c r="A20" s="1"/>
      <x:c r="B20" s="1"/>
      <x:c r="C20" s="1"/>
      <x:c r="D20" s="1"/>
    </x:row>
    <x:row r="21" ht="42" customHeight="1">
      <x:c r="A21" s="19" t="str">
        <x:v>Inverter replacement is charged once in the selected year and escalated at the OPEX inflation rate.</x:v>
      </x:c>
      <x:c r="B21" s="19"/>
      <x:c r="C21" s="19"/>
      <x:c r="D21" s="19"/>
    </x:row>
    <x:row r="22" ht="24" customHeight="1">
      <x:c r="A22" s="1"/>
      <x:c r="B22" s="1"/>
      <x:c r="C22" s="1"/>
      <x:c r="D22" s="1"/>
    </x:row>
    <x:row r="23" ht="24" customHeight="1">
      <x:c r="A23" s="1"/>
      <x:c r="B23" s="1"/>
      <x:c r="C23" s="1"/>
      <x:c r="D23" s="1"/>
    </x:row>
    <x:row r="24" ht="24" customHeight="1">
      <x:c r="A24" s="1"/>
      <x:c r="B24" s="1"/>
      <x:c r="C24" s="1"/>
      <x:c r="D24" s="1"/>
    </x:row>
    <x:row r="25" ht="24" customHeight="1">
      <x:c r="A25" s="1"/>
      <x:c r="B25" s="1"/>
      <x:c r="C25" s="1"/>
      <x:c r="D25" s="1"/>
    </x:row>
    <x:row r="26" ht="24" customHeight="1">
      <x:c r="A26" s="1"/>
      <x:c r="B26" s="1"/>
      <x:c r="C26" s="1"/>
      <x:c r="D26" s="1"/>
    </x:row>
  </x:sheetData>
  <x:mergeCells>
    <x:mergeCell ref="A1:D2"/>
    <x:mergeCell ref="A19:D19"/>
    <x:mergeCell ref="A21:D2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</x:cols>
  <x:sheetData>
    <x:row r="1" ht="26" customHeight="1">
      <x:c r="A1" s="3" t="str">
        <x:v>SOLARA | 25-year project and equity cash flow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</x:row>
    <x:row r="2" ht="26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</x:row>
    <x:row r="5" ht="42" customHeight="1">
      <x:c r="A5" s="6" t="str">
        <x:v>Year</x:v>
      </x:c>
      <x:c r="B5" s="6" t="str">
        <x:v>PV kWh</x:v>
      </x:c>
      <x:c r="C5" s="6" t="str">
        <x:v>Self-use kWh</x:v>
      </x:c>
      <x:c r="D5" s="6" t="str">
        <x:v>Export kWh</x:v>
      </x:c>
      <x:c r="E5" s="6" t="str">
        <x:v>Grid kWh</x:v>
      </x:c>
      <x:c r="F5" s="6" t="str">
        <x:v>Bill savings</x:v>
      </x:c>
      <x:c r="G5" s="6" t="str">
        <x:v>Export income</x:v>
      </x:c>
      <x:c r="H5" s="6" t="str">
        <x:v>O&amp;M</x:v>
      </x:c>
      <x:c r="I5" s="6" t="str">
        <x:v>Insurance</x:v>
      </x:c>
      <x:c r="J5" s="6" t="str">
        <x:v>Lease / other</x:v>
      </x:c>
      <x:c r="K5" s="6" t="str">
        <x:v>Replacement</x:v>
      </x:c>
      <x:c r="L5" s="6" t="str">
        <x:v>EBITDA</x:v>
      </x:c>
      <x:c r="M5" s="6" t="str">
        <x:v>Depreciation</x:v>
      </x:c>
      <x:c r="N5" s="6" t="str">
        <x:v>Project tax</x:v>
      </x:c>
      <x:c r="O5" s="6" t="str">
        <x:v>Equity tax</x:v>
      </x:c>
      <x:c r="P5" s="6" t="str">
        <x:v>Opening debt</x:v>
      </x:c>
      <x:c r="Q5" s="6" t="str">
        <x:v>Principal</x:v>
      </x:c>
      <x:c r="R5" s="6" t="str">
        <x:v>Interest</x:v>
      </x:c>
      <x:c r="S5" s="6" t="str">
        <x:v>Closing debt</x:v>
      </x:c>
      <x:c r="T5" s="6" t="str">
        <x:v>Project CF</x:v>
      </x:c>
      <x:c r="U5" s="6" t="str">
        <x:v>Equity CF</x:v>
      </x:c>
      <x:c r="V5" s="6" t="str">
        <x:v>Discounted CF</x:v>
      </x:c>
      <x:c r="W5" s="6" t="str">
        <x:v>Cumulative CF</x:v>
      </x:c>
      <x:c r="X5" s="6" t="str">
        <x:v>Discounted cumulative</x:v>
      </x:c>
      <x:c r="Y5" s="6" t="str">
        <x:v>Project sign</x:v>
      </x:c>
      <x:c r="Z5" s="6" t="str">
        <x:v>Sign changes</x:v>
      </x:c>
      <x:c r="AA5" s="6" t="str">
        <x:v>Equity sign</x:v>
      </x:c>
      <x:c r="AB5" s="6" t="str">
        <x:v>Sign changes</x:v>
      </x:c>
      <x:c r="AC5" s="6" t="str">
        <x:v>Payback helper</x:v>
      </x:c>
      <x:c r="AD5" s="6" t="str">
        <x:v>Disc. payback helper</x:v>
      </x:c>
      <x:c r="AE5" s="6" t="str">
        <x:v>Discounted costs</x:v>
      </x:c>
      <x:c r="AF5" s="6" t="str">
        <x:v>Discounted generation</x:v>
      </x:c>
    </x:row>
    <x:row r="6" ht="24" customHeight="1">
      <x:c r="A6" s="1" t="n">
        <x:v>0</x:v>
      </x:c>
      <x:c r="B6" s="25" t="n">
        <x:v>0</x:v>
      </x:c>
      <x:c r="C6" s="25" t="n">
        <x:v>0</x:v>
      </x:c>
      <x:c r="D6" s="25" t="n">
        <x:v>0</x:v>
      </x:c>
      <x:c r="E6" s="16" t="n">
        <x:f>'Inputs'!$B$6</x:f>
        <x:v>553846</x:v>
      </x:c>
      <x:c r="F6" s="25" t="n">
        <x:v>0</x:v>
      </x:c>
      <x:c r="G6" s="25" t="n">
        <x:v>0</x:v>
      </x:c>
      <x:c r="H6" s="25" t="n">
        <x:v>0</x:v>
      </x:c>
      <x:c r="I6" s="25" t="n">
        <x:v>0</x:v>
      </x:c>
      <x:c r="J6" s="25" t="n">
        <x:v>0</x:v>
      </x:c>
      <x:c r="K6" s="25" t="n">
        <x:v>0</x:v>
      </x:c>
      <x:c r="L6" s="25" t="n">
        <x:v>0</x:v>
      </x:c>
      <x:c r="M6" s="25" t="n">
        <x:v>0</x:v>
      </x:c>
      <x:c r="N6" s="25" t="n">
        <x:v>0</x:v>
      </x:c>
      <x:c r="O6" s="25" t="n">
        <x:v>0</x:v>
      </x:c>
      <x:c r="P6" s="25" t="n">
        <x:v>0</x:v>
      </x:c>
      <x:c r="Q6" s="25" t="n">
        <x:v>0</x:v>
      </x:c>
      <x:c r="R6" s="25" t="n">
        <x:v>0</x:v>
      </x:c>
      <x:c r="S6" s="16" t="n">
        <x:f>'Fast Estimate'!B11</x:f>
        <x:v>0</x:v>
      </x:c>
      <x:c r="T6" s="16" t="n">
        <x:f>-'Fast Estimate'!B10</x:f>
        <x:v>-635633.625</x:v>
      </x:c>
      <x:c r="U6" s="17" t="n">
        <x:f>T6+S6</x:f>
        <x:v>-635633.625</x:v>
      </x:c>
      <x:c r="V6" s="17" t="n">
        <x:f>T6</x:f>
        <x:v>-635633.625</x:v>
      </x:c>
      <x:c r="W6" s="17" t="n">
        <x:f>T6</x:f>
        <x:v>-635633.625</x:v>
      </x:c>
      <x:c r="X6" s="17" t="n">
        <x:f>V6</x:f>
        <x:v>-635633.625</x:v>
      </x:c>
      <x:c r="Y6" s="17" t="n">
        <x:f>SIGN(T6)</x:f>
        <x:v>-1</x:v>
      </x:c>
      <x:c r="Z6" s="25" t="n">
        <x:v>0</x:v>
      </x:c>
      <x:c r="AA6" s="17" t="n">
        <x:f>SIGN(U6)</x:f>
        <x:v>-1</x:v>
      </x:c>
      <x:c r="AB6" s="25" t="n">
        <x:v>0</x:v>
      </x:c>
      <x:c r="AC6" s="21" t="n">
        <x:v>0</x:v>
      </x:c>
      <x:c r="AD6" s="21" t="n">
        <x:v>0</x:v>
      </x:c>
      <x:c r="AE6" s="25" t="n">
        <x:v>0</x:v>
      </x:c>
      <x:c r="AF6" s="25" t="n">
        <x:v>0</x:v>
      </x:c>
    </x:row>
    <x:row r="7" ht="24" customHeight="1">
      <x:c r="A7" s="1" t="n">
        <x:v>1</x:v>
      </x:c>
      <x:c r="B7" s="16" t="n">
        <x:f>'Fast Estimate'!$B$5*'Inputs'!$B$10*(1-'Inputs'!$B$17)^(A7-1)</x:f>
        <x:v>453805</x:v>
      </x:c>
      <x:c r="C7" s="16" t="n">
        <x:f>MIN('Inputs'!$B$6,B7*'Inputs'!$B$9)</x:f>
        <x:v>372120.1</x:v>
      </x:c>
      <x:c r="D7" s="17" t="n">
        <x:f>B7-C7</x:f>
        <x:v>81684.90000000002</x:v>
      </x:c>
      <x:c r="E7" s="16" t="n">
        <x:f>'Inputs'!$B$6-C7</x:f>
        <x:v>181725.90000000002</x:v>
      </x:c>
      <x:c r="F7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7/'Inputs'!$B$48,'Inputs'!$B$35)*'Inputs'!$B$38+MAX(0,MIN(E7/'Inputs'!$B$48,'Inputs'!$B$36)-'Inputs'!$B$35)*'Inputs'!$B$39+MAX(0,MIN(E7/'Inputs'!$B$48,'Inputs'!$B$37)-'Inputs'!$B$36)*'Inputs'!$B$40+MAX(0,E7/'Inputs'!$B$48-'Inputs'!$B$37)*'Inputs'!$B$41+E7/'Inputs'!$B$48*'Inputs'!$B$42))*'Inputs'!$B$48*(1+'Inputs'!$B$16)^(A7-1)</x:f>
        <x:v>119078.432</x:v>
      </x:c>
      <x:c r="G7" s="16" t="n">
        <x:f>D7*'Inputs'!$B$18*(1+'Inputs'!$B$16)^(A7-1)</x:f>
        <x:v>0</x:v>
      </x:c>
      <x:c r="H7" s="16" t="n">
        <x:f>'O&amp;M'!$B$11*(1+'Inputs'!$B$27)^(A7-1)</x:f>
        <x:v>13798.125</x:v>
      </x:c>
      <x:c r="I7" s="16" t="n">
        <x:f>'Fast Estimate'!$B$9*'Inputs'!$B$25*(1+'Inputs'!$B$27)^(A7-1)</x:f>
        <x:v>3178.168125</x:v>
      </x:c>
      <x:c r="J7" s="16" t="n">
        <x:f>'Inputs'!$B$26*(1+'Inputs'!$B$27)^(A7-1)</x:f>
        <x:v>0</x:v>
      </x:c>
      <x:c r="K7" s="16" t="n">
        <x:f>IF(A7='Inputs'!$B$28,'Fast Estimate'!$B$9*'Inputs'!$B$29*(1+'Inputs'!$B$27)^(A7-1),0)</x:f>
        <x:v>0</x:v>
      </x:c>
      <x:c r="L7" s="17" t="n">
        <x:f>SUM(F7:G7)-SUM(H7:J7)</x:f>
        <x:v>102102.138875</x:v>
      </x:c>
      <x:c r="M7" s="16" t="n">
        <x:f>IF(A7&lt;='Inputs'!$B$34,'Fast Estimate'!$B$9/'Inputs'!$B$34,0)</x:f>
        <x:v>25425.345</x:v>
      </x:c>
      <x:c r="N7" s="16" t="n">
        <x:f>MAX(0,L7-M7)*'Inputs'!$B$33</x:f>
        <x:v>0</x:v>
      </x:c>
      <x:c r="O7" s="16" t="n">
        <x:f>MAX(0,L7-M7-R7)*'Inputs'!$B$33</x:f>
        <x:v>0</x:v>
      </x:c>
      <x:c r="P7" s="16" t="n">
        <x:f>MAX(0,'Fast Estimate'!$B$11-(A7-1)*'Fast Estimate'!$B$11/'Inputs'!$B$32)</x:f>
        <x:v>0</x:v>
      </x:c>
      <x:c r="Q7" s="16" t="n">
        <x:f>IF(A7&lt;='Inputs'!$B$32,'Fast Estimate'!$B$11/'Inputs'!$B$32,0)</x:f>
        <x:v>0</x:v>
      </x:c>
      <x:c r="R7" s="16" t="n">
        <x:f>P7*'Inputs'!$B$31</x:f>
        <x:v>0</x:v>
      </x:c>
      <x:c r="S7" s="17" t="n">
        <x:f>MAX(0,P7-Q7)</x:f>
        <x:v>0</x:v>
      </x:c>
      <x:c r="T7" s="17" t="n">
        <x:f>L7-N7-K7</x:f>
        <x:v>102102.138875</x:v>
      </x:c>
      <x:c r="U7" s="17" t="n">
        <x:f>L7-O7-K7-Q7-R7</x:f>
        <x:v>102102.138875</x:v>
      </x:c>
      <x:c r="V7" s="16" t="n">
        <x:f>T7/(1+'Inputs'!$B$15)^A7</x:f>
        <x:v>94539.01747685185</x:v>
      </x:c>
      <x:c r="W7" s="17" t="n">
        <x:f>W6+T7</x:f>
        <x:v>-533531.486125</x:v>
      </x:c>
      <x:c r="X7" s="17" t="n">
        <x:f>X6+V7</x:f>
        <x:v>-541094.6075231482</x:v>
      </x:c>
      <x:c r="Y7" s="17" t="n">
        <x:f>IF(T7=0,Y6,SIGN(T7))</x:f>
        <x:v>1</x:v>
      </x:c>
      <x:c r="Z7" s="17" t="n">
        <x:f>IF(AND(Y7&lt;&gt;0,Y6&lt;&gt;0,Y7&lt;&gt;Y6),1,0)</x:f>
        <x:v>1</x:v>
      </x:c>
      <x:c r="AA7" s="17" t="n">
        <x:f>IF(U7=0,AA6,SIGN(U7))</x:f>
        <x:v>1</x:v>
      </x:c>
      <x:c r="AB7" s="17" t="n">
        <x:f>IF(AND(AA7&lt;&gt;0,AA6&lt;&gt;0,AA7&lt;&gt;AA6),1,0)</x:f>
        <x:v>1</x:v>
      </x:c>
      <x:c r="AC7" s="20" t="n">
        <x:f>IF(AND(W6&lt;0,W7&gt;=0,T7&gt;0),A7-1-W6/T7,'Inputs'!$B$47+1)</x:f>
        <x:v>26</x:v>
      </x:c>
      <x:c r="AD7" s="20" t="n">
        <x:f>IF(AND(X6&lt;0,X7&gt;=0,V7&gt;0),A7-1-X6/V7,'Inputs'!$B$47+1)</x:f>
        <x:v>26</x:v>
      </x:c>
      <x:c r="AE7" s="16" t="n">
        <x:f>(SUM(H7:K7))/(1+'Inputs'!$B$15)^A7</x:f>
        <x:v>15718.789930555555</x:v>
      </x:c>
      <x:c r="AF7" s="16" t="n">
        <x:f>B7/(1+'Inputs'!$B$15)^A7</x:f>
        <x:v>420189.8148148148</x:v>
      </x:c>
    </x:row>
    <x:row r="8" ht="24" customHeight="1">
      <x:c r="A8" s="1" t="n">
        <x:v>2</x:v>
      </x:c>
      <x:c r="B8" s="16" t="n">
        <x:f>'Fast Estimate'!$B$5*'Inputs'!$B$10*(1-'Inputs'!$B$17)^(A8-1)</x:f>
        <x:v>451535.975</x:v>
      </x:c>
      <x:c r="C8" s="16" t="n">
        <x:f>MIN('Inputs'!$B$6,B8*'Inputs'!$B$9)</x:f>
        <x:v>370259.4995</x:v>
      </x:c>
      <x:c r="D8" s="17" t="n">
        <x:f>B8-C8</x:f>
        <x:v>81276.4755</x:v>
      </x:c>
      <x:c r="E8" s="16" t="n">
        <x:f>'Inputs'!$B$6-C8</x:f>
        <x:v>183586.50050000002</x:v>
      </x:c>
      <x:c r="F8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8/'Inputs'!$B$48,'Inputs'!$B$35)*'Inputs'!$B$38+MAX(0,MIN(E8/'Inputs'!$B$48,'Inputs'!$B$36)-'Inputs'!$B$35)*'Inputs'!$B$39+MAX(0,MIN(E8/'Inputs'!$B$48,'Inputs'!$B$37)-'Inputs'!$B$36)*'Inputs'!$B$40+MAX(0,E8/'Inputs'!$B$48-'Inputs'!$B$37)*'Inputs'!$B$41+E8/'Inputs'!$B$48*'Inputs'!$B$42))*'Inputs'!$B$48*(1+'Inputs'!$B$16)^(A8-1)</x:f>
        <x:v>120852.70063680001</x:v>
      </x:c>
      <x:c r="G8" s="16" t="n">
        <x:f>D8*'Inputs'!$B$18*(1+'Inputs'!$B$16)^(A8-1)</x:f>
        <x:v>0</x:v>
      </x:c>
      <x:c r="H8" s="16" t="n">
        <x:f>'O&amp;M'!$B$11*(1+'Inputs'!$B$27)^(A8-1)</x:f>
        <x:v>14074.0875</x:v>
      </x:c>
      <x:c r="I8" s="16" t="n">
        <x:f>'Fast Estimate'!$B$9*'Inputs'!$B$25*(1+'Inputs'!$B$27)^(A8-1)</x:f>
        <x:v>3241.7314875</x:v>
      </x:c>
      <x:c r="J8" s="16" t="n">
        <x:f>'Inputs'!$B$26*(1+'Inputs'!$B$27)^(A8-1)</x:f>
        <x:v>0</x:v>
      </x:c>
      <x:c r="K8" s="16" t="n">
        <x:f>IF(A8='Inputs'!$B$28,'Fast Estimate'!$B$9*'Inputs'!$B$29*(1+'Inputs'!$B$27)^(A8-1),0)</x:f>
        <x:v>0</x:v>
      </x:c>
      <x:c r="L8" s="17" t="n">
        <x:f>SUM(F8:G8)-SUM(H8:J8)</x:f>
        <x:v>103536.88164930002</x:v>
      </x:c>
      <x:c r="M8" s="16" t="n">
        <x:f>IF(A8&lt;='Inputs'!$B$34,'Fast Estimate'!$B$9/'Inputs'!$B$34,0)</x:f>
        <x:v>25425.345</x:v>
      </x:c>
      <x:c r="N8" s="16" t="n">
        <x:f>MAX(0,L8-M8)*'Inputs'!$B$33</x:f>
        <x:v>0</x:v>
      </x:c>
      <x:c r="O8" s="16" t="n">
        <x:f>MAX(0,L8-M8-R8)*'Inputs'!$B$33</x:f>
        <x:v>0</x:v>
      </x:c>
      <x:c r="P8" s="16" t="n">
        <x:f>MAX(0,'Fast Estimate'!$B$11-(A8-1)*'Fast Estimate'!$B$11/'Inputs'!$B$32)</x:f>
        <x:v>0</x:v>
      </x:c>
      <x:c r="Q8" s="16" t="n">
        <x:f>IF(A8&lt;='Inputs'!$B$32,'Fast Estimate'!$B$11/'Inputs'!$B$32,0)</x:f>
        <x:v>0</x:v>
      </x:c>
      <x:c r="R8" s="16" t="n">
        <x:f>P8*'Inputs'!$B$31</x:f>
        <x:v>0</x:v>
      </x:c>
      <x:c r="S8" s="17" t="n">
        <x:f>MAX(0,P8-Q8)</x:f>
        <x:v>0</x:v>
      </x:c>
      <x:c r="T8" s="17" t="n">
        <x:f>L8-N8-K8</x:f>
        <x:v>103536.88164930002</x:v>
      </x:c>
      <x:c r="U8" s="17" t="n">
        <x:f>L8-O8-K8-Q8-R8</x:f>
        <x:v>103536.88164930002</x:v>
      </x:c>
      <x:c r="V8" s="16" t="n">
        <x:f>T8/(1+'Inputs'!$B$15)^A8</x:f>
        <x:v>88766.18797093623</x:v>
      </x:c>
      <x:c r="W8" s="17" t="n">
        <x:f>W7+T8</x:f>
        <x:v>-429994.60447570006</x:v>
      </x:c>
      <x:c r="X8" s="17" t="n">
        <x:f>X7+V8</x:f>
        <x:v>-452328.41955221194</x:v>
      </x:c>
      <x:c r="Y8" s="17" t="n">
        <x:f>IF(T8=0,Y7,SIGN(T8))</x:f>
        <x:v>1</x:v>
      </x:c>
      <x:c r="Z8" s="17" t="n">
        <x:f>IF(AND(Y8&lt;&gt;0,Y7&lt;&gt;0,Y8&lt;&gt;Y7),1,0)</x:f>
        <x:v>0</x:v>
      </x:c>
      <x:c r="AA8" s="17" t="n">
        <x:f>IF(U8=0,AA7,SIGN(U8))</x:f>
        <x:v>1</x:v>
      </x:c>
      <x:c r="AB8" s="17" t="n">
        <x:f>IF(AND(AA8&lt;&gt;0,AA7&lt;&gt;0,AA8&lt;&gt;AA7),1,0)</x:f>
        <x:v>0</x:v>
      </x:c>
      <x:c r="AC8" s="20" t="n">
        <x:f>IF(AND(W7&lt;0,W8&gt;=0,T8&gt;0),A8-1-W7/T8,'Inputs'!$B$47+1)</x:f>
        <x:v>26</x:v>
      </x:c>
      <x:c r="AD8" s="20" t="n">
        <x:f>IF(AND(X7&lt;0,X8&gt;=0,V8&gt;0),A8-1-X7/V8,'Inputs'!$B$47+1)</x:f>
        <x:v>26</x:v>
      </x:c>
      <x:c r="AE8" s="16" t="n">
        <x:f>(SUM(H8:K8))/(1+'Inputs'!$B$15)^A8</x:f>
        <x:v>14845.523823302467</x:v>
      </x:c>
      <x:c r="AF8" s="16" t="n">
        <x:f>B8/(1+'Inputs'!$B$15)^A8</x:f>
        <x:v>387119.32013031543</x:v>
      </x:c>
    </x:row>
    <x:row r="9" ht="24" customHeight="1">
      <x:c r="A9" s="1" t="n">
        <x:v>3</x:v>
      </x:c>
      <x:c r="B9" s="16" t="n">
        <x:f>'Fast Estimate'!$B$5*'Inputs'!$B$10*(1-'Inputs'!$B$17)^(A9-1)</x:f>
        <x:v>449278.295125</x:v>
      </x:c>
      <x:c r="C9" s="16" t="n">
        <x:f>MIN('Inputs'!$B$6,B9*'Inputs'!$B$9)</x:f>
        <x:v>368408.2020025</x:v>
      </x:c>
      <x:c r="D9" s="17" t="n">
        <x:f>B9-C9</x:f>
        <x:v>80870.0931225</x:v>
      </x:c>
      <x:c r="E9" s="16" t="n">
        <x:f>'Inputs'!$B$6-C9</x:f>
        <x:v>185437.7979975</x:v>
      </x:c>
      <x:c r="F9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9/'Inputs'!$B$48,'Inputs'!$B$35)*'Inputs'!$B$38+MAX(0,MIN(E9/'Inputs'!$B$48,'Inputs'!$B$36)-'Inputs'!$B$35)*'Inputs'!$B$39+MAX(0,MIN(E9/'Inputs'!$B$48,'Inputs'!$B$37)-'Inputs'!$B$36)*'Inputs'!$B$40+MAX(0,E9/'Inputs'!$B$48-'Inputs'!$B$37)*'Inputs'!$B$41+E9/'Inputs'!$B$48*'Inputs'!$B$42))*'Inputs'!$B$48*(1+'Inputs'!$B$16)^(A9-1)</x:f>
        <x:v>122653.40587628832</x:v>
      </x:c>
      <x:c r="G9" s="16" t="n">
        <x:f>D9*'Inputs'!$B$18*(1+'Inputs'!$B$16)^(A9-1)</x:f>
        <x:v>0</x:v>
      </x:c>
      <x:c r="H9" s="16" t="n">
        <x:f>'O&amp;M'!$B$11*(1+'Inputs'!$B$27)^(A9-1)</x:f>
        <x:v>14355.56925</x:v>
      </x:c>
      <x:c r="I9" s="16" t="n">
        <x:f>'Fast Estimate'!$B$9*'Inputs'!$B$25*(1+'Inputs'!$B$27)^(A9-1)</x:f>
        <x:v>3306.56611725</x:v>
      </x:c>
      <x:c r="J9" s="16" t="n">
        <x:f>'Inputs'!$B$26*(1+'Inputs'!$B$27)^(A9-1)</x:f>
        <x:v>0</x:v>
      </x:c>
      <x:c r="K9" s="16" t="n">
        <x:f>IF(A9='Inputs'!$B$28,'Fast Estimate'!$B$9*'Inputs'!$B$29*(1+'Inputs'!$B$27)^(A9-1),0)</x:f>
        <x:v>0</x:v>
      </x:c>
      <x:c r="L9" s="17" t="n">
        <x:f>SUM(F9:G9)-SUM(H9:J9)</x:f>
        <x:v>104991.27050903832</x:v>
      </x:c>
      <x:c r="M9" s="16" t="n">
        <x:f>IF(A9&lt;='Inputs'!$B$34,'Fast Estimate'!$B$9/'Inputs'!$B$34,0)</x:f>
        <x:v>25425.345</x:v>
      </x:c>
      <x:c r="N9" s="16" t="n">
        <x:f>MAX(0,L9-M9)*'Inputs'!$B$33</x:f>
        <x:v>0</x:v>
      </x:c>
      <x:c r="O9" s="16" t="n">
        <x:f>MAX(0,L9-M9-R9)*'Inputs'!$B$33</x:f>
        <x:v>0</x:v>
      </x:c>
      <x:c r="P9" s="16" t="n">
        <x:f>MAX(0,'Fast Estimate'!$B$11-(A9-1)*'Fast Estimate'!$B$11/'Inputs'!$B$32)</x:f>
        <x:v>0</x:v>
      </x:c>
      <x:c r="Q9" s="16" t="n">
        <x:f>IF(A9&lt;='Inputs'!$B$32,'Fast Estimate'!$B$11/'Inputs'!$B$32,0)</x:f>
        <x:v>0</x:v>
      </x:c>
      <x:c r="R9" s="16" t="n">
        <x:f>P9*'Inputs'!$B$31</x:f>
        <x:v>0</x:v>
      </x:c>
      <x:c r="S9" s="17" t="n">
        <x:f>MAX(0,P9-Q9)</x:f>
        <x:v>0</x:v>
      </x:c>
      <x:c r="T9" s="17" t="n">
        <x:f>L9-N9-K9</x:f>
        <x:v>104991.27050903832</x:v>
      </x:c>
      <x:c r="U9" s="17" t="n">
        <x:f>L9-O9-K9-Q9-R9</x:f>
        <x:v>104991.27050903832</x:v>
      </x:c>
      <x:c r="V9" s="16" t="n">
        <x:f>T9/(1+'Inputs'!$B$15)^A9</x:f>
        <x:v>83345.45555574473</x:v>
      </x:c>
      <x:c r="W9" s="17" t="n">
        <x:f>W8+T9</x:f>
        <x:v>-325003.3339666617</x:v>
      </x:c>
      <x:c r="X9" s="17" t="n">
        <x:f>X8+V9</x:f>
        <x:v>-368982.9639964672</x:v>
      </x:c>
      <x:c r="Y9" s="17" t="n">
        <x:f>IF(T9=0,Y8,SIGN(T9))</x:f>
        <x:v>1</x:v>
      </x:c>
      <x:c r="Z9" s="17" t="n">
        <x:f>IF(AND(Y9&lt;&gt;0,Y8&lt;&gt;0,Y9&lt;&gt;Y8),1,0)</x:f>
        <x:v>0</x:v>
      </x:c>
      <x:c r="AA9" s="17" t="n">
        <x:f>IF(U9=0,AA8,SIGN(U9))</x:f>
        <x:v>1</x:v>
      </x:c>
      <x:c r="AB9" s="17" t="n">
        <x:f>IF(AND(AA9&lt;&gt;0,AA8&lt;&gt;0,AA9&lt;&gt;AA8),1,0)</x:f>
        <x:v>0</x:v>
      </x:c>
      <x:c r="AC9" s="20" t="n">
        <x:f>IF(AND(W8&lt;0,W9&gt;=0,T9&gt;0),A9-1-W8/T9,'Inputs'!$B$47+1)</x:f>
        <x:v>26</x:v>
      </x:c>
      <x:c r="AD9" s="20" t="n">
        <x:f>IF(AND(X8&lt;0,X9&gt;=0,V9&gt;0),A9-1-X8/V9,'Inputs'!$B$47+1)</x:f>
        <x:v>26</x:v>
      </x:c>
      <x:c r="AE9" s="16" t="n">
        <x:f>(SUM(H9:K9))/(1+'Inputs'!$B$15)^A9</x:f>
        <x:v>14020.772499785664</x:v>
      </x:c>
      <x:c r="AF9" s="16" t="n">
        <x:f>B9/(1+'Inputs'!$B$15)^A9</x:f>
        <x:v>356651.5958607999</x:v>
      </x:c>
    </x:row>
    <x:row r="10" ht="24" customHeight="1">
      <x:c r="A10" s="1" t="n">
        <x:v>4</x:v>
      </x:c>
      <x:c r="B10" s="16" t="n">
        <x:f>'Fast Estimate'!$B$5*'Inputs'!$B$10*(1-'Inputs'!$B$17)^(A10-1)</x:f>
        <x:v>447031.903649375</x:v>
      </x:c>
      <x:c r="C10" s="16" t="n">
        <x:f>MIN('Inputs'!$B$6,B10*'Inputs'!$B$9)</x:f>
        <x:v>366566.1609924875</x:v>
      </x:c>
      <x:c r="D10" s="17" t="n">
        <x:f>B10-C10</x:f>
        <x:v>80465.74265688751</x:v>
      </x:c>
      <x:c r="E10" s="16" t="n">
        <x:f>'Inputs'!$B$6-C10</x:f>
        <x:v>187279.8390075125</x:v>
      </x:c>
      <x:c r="F10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10/'Inputs'!$B$48,'Inputs'!$B$35)*'Inputs'!$B$38+MAX(0,MIN(E10/'Inputs'!$B$48,'Inputs'!$B$36)-'Inputs'!$B$35)*'Inputs'!$B$39+MAX(0,MIN(E10/'Inputs'!$B$48,'Inputs'!$B$37)-'Inputs'!$B$36)*'Inputs'!$B$40+MAX(0,E10/'Inputs'!$B$48-'Inputs'!$B$37)*'Inputs'!$B$41+E10/'Inputs'!$B$48*'Inputs'!$B$42))*'Inputs'!$B$48*(1+'Inputs'!$B$16)^(A10-1)</x:f>
        <x:v>124480.94162384504</x:v>
      </x:c>
      <x:c r="G10" s="16" t="n">
        <x:f>D10*'Inputs'!$B$18*(1+'Inputs'!$B$16)^(A10-1)</x:f>
        <x:v>0</x:v>
      </x:c>
      <x:c r="H10" s="16" t="n">
        <x:f>'O&amp;M'!$B$11*(1+'Inputs'!$B$27)^(A10-1)</x:f>
        <x:v>14642.680635000002</x:v>
      </x:c>
      <x:c r="I10" s="16" t="n">
        <x:f>'Fast Estimate'!$B$9*'Inputs'!$B$25*(1+'Inputs'!$B$27)^(A10-1)</x:f>
        <x:v>3372.6974395950006</x:v>
      </x:c>
      <x:c r="J10" s="16" t="n">
        <x:f>'Inputs'!$B$26*(1+'Inputs'!$B$27)^(A10-1)</x:f>
        <x:v>0</x:v>
      </x:c>
      <x:c r="K10" s="16" t="n">
        <x:f>IF(A10='Inputs'!$B$28,'Fast Estimate'!$B$9*'Inputs'!$B$29*(1+'Inputs'!$B$27)^(A10-1),0)</x:f>
        <x:v>0</x:v>
      </x:c>
      <x:c r="L10" s="17" t="n">
        <x:f>SUM(F10:G10)-SUM(H10:J10)</x:f>
        <x:v>106465.56354925003</x:v>
      </x:c>
      <x:c r="M10" s="16" t="n">
        <x:f>IF(A10&lt;='Inputs'!$B$34,'Fast Estimate'!$B$9/'Inputs'!$B$34,0)</x:f>
        <x:v>25425.345</x:v>
      </x:c>
      <x:c r="N10" s="16" t="n">
        <x:f>MAX(0,L10-M10)*'Inputs'!$B$33</x:f>
        <x:v>0</x:v>
      </x:c>
      <x:c r="O10" s="16" t="n">
        <x:f>MAX(0,L10-M10-R10)*'Inputs'!$B$33</x:f>
        <x:v>0</x:v>
      </x:c>
      <x:c r="P10" s="16" t="n">
        <x:f>MAX(0,'Fast Estimate'!$B$11-(A10-1)*'Fast Estimate'!$B$11/'Inputs'!$B$32)</x:f>
        <x:v>0</x:v>
      </x:c>
      <x:c r="Q10" s="16" t="n">
        <x:f>IF(A10&lt;='Inputs'!$B$32,'Fast Estimate'!$B$11/'Inputs'!$B$32,0)</x:f>
        <x:v>0</x:v>
      </x:c>
      <x:c r="R10" s="16" t="n">
        <x:f>P10*'Inputs'!$B$31</x:f>
        <x:v>0</x:v>
      </x:c>
      <x:c r="S10" s="17" t="n">
        <x:f>MAX(0,P10-Q10)</x:f>
        <x:v>0</x:v>
      </x:c>
      <x:c r="T10" s="17" t="n">
        <x:f>L10-N10-K10</x:f>
        <x:v>106465.56354925003</x:v>
      </x:c>
      <x:c r="U10" s="17" t="n">
        <x:f>L10-O10-K10-Q10-R10</x:f>
        <x:v>106465.56354925003</x:v>
      </x:c>
      <x:c r="V10" s="16" t="n">
        <x:f>T10/(1+'Inputs'!$B$15)^A10</x:f>
        <x:v>78255.36750349669</x:v>
      </x:c>
      <x:c r="W10" s="17" t="n">
        <x:f>W9+T10</x:f>
        <x:v>-218537.7704174117</x:v>
      </x:c>
      <x:c r="X10" s="17" t="n">
        <x:f>X9+V10</x:f>
        <x:v>-290727.5964929705</x:v>
      </x:c>
      <x:c r="Y10" s="17" t="n">
        <x:f>IF(T10=0,Y9,SIGN(T10))</x:f>
        <x:v>1</x:v>
      </x:c>
      <x:c r="Z10" s="17" t="n">
        <x:f>IF(AND(Y10&lt;&gt;0,Y9&lt;&gt;0,Y10&lt;&gt;Y9),1,0)</x:f>
        <x:v>0</x:v>
      </x:c>
      <x:c r="AA10" s="17" t="n">
        <x:f>IF(U10=0,AA9,SIGN(U10))</x:f>
        <x:v>1</x:v>
      </x:c>
      <x:c r="AB10" s="17" t="n">
        <x:f>IF(AND(AA10&lt;&gt;0,AA9&lt;&gt;0,AA10&lt;&gt;AA9),1,0)</x:f>
        <x:v>0</x:v>
      </x:c>
      <x:c r="AC10" s="20" t="n">
        <x:f>IF(AND(W9&lt;0,W10&gt;=0,T10&gt;0),A10-1-W9/T10,'Inputs'!$B$47+1)</x:f>
        <x:v>26</x:v>
      </x:c>
      <x:c r="AD10" s="20" t="n">
        <x:f>IF(AND(X9&lt;0,X10&gt;=0,V10&gt;0),A10-1-X9/V10,'Inputs'!$B$47+1)</x:f>
        <x:v>26</x:v>
      </x:c>
      <x:c r="AE10" s="16" t="n">
        <x:f>(SUM(H10:K10))/(1+'Inputs'!$B$15)^A10</x:f>
        <x:v>13241.840694242017</x:v>
      </x:c>
      <x:c r="AF10" s="16" t="n">
        <x:f>B10/(1+'Inputs'!$B$15)^A10</x:f>
        <x:v>328581.7943347184</x:v>
      </x:c>
    </x:row>
    <x:row r="11" ht="24" customHeight="1">
      <x:c r="A11" s="1" t="n">
        <x:v>5</x:v>
      </x:c>
      <x:c r="B11" s="16" t="n">
        <x:f>'Fast Estimate'!$B$5*'Inputs'!$B$10*(1-'Inputs'!$B$17)^(A11-1)</x:f>
        <x:v>444796.7441311281</x:v>
      </x:c>
      <x:c r="C11" s="16" t="n">
        <x:f>MIN('Inputs'!$B$6,B11*'Inputs'!$B$9)</x:f>
        <x:v>364733.330187525</x:v>
      </x:c>
      <x:c r="D11" s="17" t="n">
        <x:f>B11-C11</x:f>
        <x:v>80063.41394360311</x:v>
      </x:c>
      <x:c r="E11" s="16" t="n">
        <x:f>'Inputs'!$B$6-C11</x:f>
        <x:v>189112.66981247498</x:v>
      </x:c>
      <x:c r="F11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11/'Inputs'!$B$48,'Inputs'!$B$35)*'Inputs'!$B$38+MAX(0,MIN(E11/'Inputs'!$B$48,'Inputs'!$B$36)-'Inputs'!$B$35)*'Inputs'!$B$39+MAX(0,MIN(E11/'Inputs'!$B$48,'Inputs'!$B$37)-'Inputs'!$B$36)*'Inputs'!$B$40+MAX(0,E11/'Inputs'!$B$48-'Inputs'!$B$37)*'Inputs'!$B$41+E11/'Inputs'!$B$48*'Inputs'!$B$42))*'Inputs'!$B$48*(1+'Inputs'!$B$16)^(A11-1)</x:f>
        <x:v>126335.70765404028</x:v>
      </x:c>
      <x:c r="G11" s="16" t="n">
        <x:f>D11*'Inputs'!$B$18*(1+'Inputs'!$B$16)^(A11-1)</x:f>
        <x:v>0</x:v>
      </x:c>
      <x:c r="H11" s="16" t="n">
        <x:f>'O&amp;M'!$B$11*(1+'Inputs'!$B$27)^(A11-1)</x:f>
        <x:v>14935.5342477</x:v>
      </x:c>
      <x:c r="I11" s="16" t="n">
        <x:f>'Fast Estimate'!$B$9*'Inputs'!$B$25*(1+'Inputs'!$B$27)^(A11-1)</x:f>
        <x:v>3440.1513883869</x:v>
      </x:c>
      <x:c r="J11" s="16" t="n">
        <x:f>'Inputs'!$B$26*(1+'Inputs'!$B$27)^(A11-1)</x:f>
        <x:v>0</x:v>
      </x:c>
      <x:c r="K11" s="16" t="n">
        <x:f>IF(A11='Inputs'!$B$28,'Fast Estimate'!$B$9*'Inputs'!$B$29*(1+'Inputs'!$B$27)^(A11-1),0)</x:f>
        <x:v>0</x:v>
      </x:c>
      <x:c r="L11" s="17" t="n">
        <x:f>SUM(F11:G11)-SUM(H11:J11)</x:f>
        <x:v>107960.02201795338</x:v>
      </x:c>
      <x:c r="M11" s="16" t="n">
        <x:f>IF(A11&lt;='Inputs'!$B$34,'Fast Estimate'!$B$9/'Inputs'!$B$34,0)</x:f>
        <x:v>25425.345</x:v>
      </x:c>
      <x:c r="N11" s="16" t="n">
        <x:f>MAX(0,L11-M11)*'Inputs'!$B$33</x:f>
        <x:v>0</x:v>
      </x:c>
      <x:c r="O11" s="16" t="n">
        <x:f>MAX(0,L11-M11-R11)*'Inputs'!$B$33</x:f>
        <x:v>0</x:v>
      </x:c>
      <x:c r="P11" s="16" t="n">
        <x:f>MAX(0,'Fast Estimate'!$B$11-(A11-1)*'Fast Estimate'!$B$11/'Inputs'!$B$32)</x:f>
        <x:v>0</x:v>
      </x:c>
      <x:c r="Q11" s="16" t="n">
        <x:f>IF(A11&lt;='Inputs'!$B$32,'Fast Estimate'!$B$11/'Inputs'!$B$32,0)</x:f>
        <x:v>0</x:v>
      </x:c>
      <x:c r="R11" s="16" t="n">
        <x:f>P11*'Inputs'!$B$31</x:f>
        <x:v>0</x:v>
      </x:c>
      <x:c r="S11" s="17" t="n">
        <x:f>MAX(0,P11-Q11)</x:f>
        <x:v>0</x:v>
      </x:c>
      <x:c r="T11" s="17" t="n">
        <x:f>L11-N11-K11</x:f>
        <x:v>107960.02201795338</x:v>
      </x:c>
      <x:c r="U11" s="17" t="n">
        <x:f>L11-O11-K11-Q11-R11</x:f>
        <x:v>107960.02201795338</x:v>
      </x:c>
      <x:c r="V11" s="16" t="n">
        <x:f>T11/(1+'Inputs'!$B$15)^A11</x:f>
        <x:v>73475.77693681307</x:v>
      </x:c>
      <x:c r="W11" s="17" t="n">
        <x:f>W10+T11</x:f>
        <x:v>-110577.74839945832</x:v>
      </x:c>
      <x:c r="X11" s="17" t="n">
        <x:f>X10+V11</x:f>
        <x:v>-217251.8195561574</x:v>
      </x:c>
      <x:c r="Y11" s="17" t="n">
        <x:f>IF(T11=0,Y10,SIGN(T11))</x:f>
        <x:v>1</x:v>
      </x:c>
      <x:c r="Z11" s="17" t="n">
        <x:f>IF(AND(Y11&lt;&gt;0,Y10&lt;&gt;0,Y11&lt;&gt;Y10),1,0)</x:f>
        <x:v>0</x:v>
      </x:c>
      <x:c r="AA11" s="17" t="n">
        <x:f>IF(U11=0,AA10,SIGN(U11))</x:f>
        <x:v>1</x:v>
      </x:c>
      <x:c r="AB11" s="17" t="n">
        <x:f>IF(AND(AA11&lt;&gt;0,AA10&lt;&gt;0,AA11&lt;&gt;AA10),1,0)</x:f>
        <x:v>0</x:v>
      </x:c>
      <x:c r="AC11" s="20" t="n">
        <x:f>IF(AND(W10&lt;0,W11&gt;=0,T11&gt;0),A11-1-W10/T11,'Inputs'!$B$47+1)</x:f>
        <x:v>26</x:v>
      </x:c>
      <x:c r="AD11" s="20" t="n">
        <x:f>IF(AND(X10&lt;0,X11&gt;=0,V11&gt;0),A11-1-X10/V11,'Inputs'!$B$47+1)</x:f>
        <x:v>26</x:v>
      </x:c>
      <x:c r="AE11" s="16" t="n">
        <x:f>(SUM(H11:K11))/(1+'Inputs'!$B$15)^A11</x:f>
        <x:v>12506.182877895233</x:v>
      </x:c>
      <x:c r="AF11" s="16" t="n">
        <x:f>B11/(1+'Inputs'!$B$15)^A11</x:f>
        <x:v>302721.19015096733</x:v>
      </x:c>
    </x:row>
    <x:row r="12" ht="24" customHeight="1">
      <x:c r="A12" s="1" t="n">
        <x:v>6</x:v>
      </x:c>
      <x:c r="B12" s="16" t="n">
        <x:f>'Fast Estimate'!$B$5*'Inputs'!$B$10*(1-'Inputs'!$B$17)^(A12-1)</x:f>
        <x:v>442572.76041047246</x:v>
      </x:c>
      <x:c r="C12" s="16" t="n">
        <x:f>MIN('Inputs'!$B$6,B12*'Inputs'!$B$9)</x:f>
        <x:v>362909.6635365874</x:v>
      </x:c>
      <x:c r="D12" s="17" t="n">
        <x:f>B12-C12</x:f>
        <x:v>79663.09687388508</x:v>
      </x:c>
      <x:c r="E12" s="16" t="n">
        <x:f>'Inputs'!$B$6-C12</x:f>
        <x:v>190936.33646341262</x:v>
      </x:c>
      <x:c r="F12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12/'Inputs'!$B$48,'Inputs'!$B$35)*'Inputs'!$B$38+MAX(0,MIN(E12/'Inputs'!$B$48,'Inputs'!$B$36)-'Inputs'!$B$35)*'Inputs'!$B$39+MAX(0,MIN(E12/'Inputs'!$B$48,'Inputs'!$B$37)-'Inputs'!$B$36)*'Inputs'!$B$40+MAX(0,E12/'Inputs'!$B$48-'Inputs'!$B$37)*'Inputs'!$B$41+E12/'Inputs'!$B$48*'Inputs'!$B$42))*'Inputs'!$B$48*(1+'Inputs'!$B$16)^(A12-1)</x:f>
        <x:v>128218.1096980855</x:v>
      </x:c>
      <x:c r="G12" s="16" t="n">
        <x:f>D12*'Inputs'!$B$18*(1+'Inputs'!$B$16)^(A12-1)</x:f>
        <x:v>0</x:v>
      </x:c>
      <x:c r="H12" s="16" t="n">
        <x:f>'O&amp;M'!$B$11*(1+'Inputs'!$B$27)^(A12-1)</x:f>
        <x:v>15234.244932654</x:v>
      </x:c>
      <x:c r="I12" s="16" t="n">
        <x:f>'Fast Estimate'!$B$9*'Inputs'!$B$25*(1+'Inputs'!$B$27)^(A12-1)</x:f>
        <x:v>3508.9544161546382</x:v>
      </x:c>
      <x:c r="J12" s="16" t="n">
        <x:f>'Inputs'!$B$26*(1+'Inputs'!$B$27)^(A12-1)</x:f>
        <x:v>0</x:v>
      </x:c>
      <x:c r="K12" s="16" t="n">
        <x:f>IF(A12='Inputs'!$B$28,'Fast Estimate'!$B$9*'Inputs'!$B$29*(1+'Inputs'!$B$27)^(A12-1),0)</x:f>
        <x:v>0</x:v>
      </x:c>
      <x:c r="L12" s="17" t="n">
        <x:f>SUM(F12:G12)-SUM(H12:J12)</x:f>
        <x:v>109474.91034927688</x:v>
      </x:c>
      <x:c r="M12" s="16" t="n">
        <x:f>IF(A12&lt;='Inputs'!$B$34,'Fast Estimate'!$B$9/'Inputs'!$B$34,0)</x:f>
        <x:v>25425.345</x:v>
      </x:c>
      <x:c r="N12" s="16" t="n">
        <x:f>MAX(0,L12-M12)*'Inputs'!$B$33</x:f>
        <x:v>0</x:v>
      </x:c>
      <x:c r="O12" s="16" t="n">
        <x:f>MAX(0,L12-M12-R12)*'Inputs'!$B$33</x:f>
        <x:v>0</x:v>
      </x:c>
      <x:c r="P12" s="16" t="n">
        <x:f>MAX(0,'Fast Estimate'!$B$11-(A12-1)*'Fast Estimate'!$B$11/'Inputs'!$B$32)</x:f>
        <x:v>0</x:v>
      </x:c>
      <x:c r="Q12" s="16" t="n">
        <x:f>IF(A12&lt;='Inputs'!$B$32,'Fast Estimate'!$B$11/'Inputs'!$B$32,0)</x:f>
        <x:v>0</x:v>
      </x:c>
      <x:c r="R12" s="16" t="n">
        <x:f>P12*'Inputs'!$B$31</x:f>
        <x:v>0</x:v>
      </x:c>
      <x:c r="S12" s="17" t="n">
        <x:f>MAX(0,P12-Q12)</x:f>
        <x:v>0</x:v>
      </x:c>
      <x:c r="T12" s="17" t="n">
        <x:f>L12-N12-K12</x:f>
        <x:v>109474.91034927688</x:v>
      </x:c>
      <x:c r="U12" s="17" t="n">
        <x:f>L12-O12-K12-Q12-R12</x:f>
        <x:v>109474.91034927688</x:v>
      </x:c>
      <x:c r="V12" s="16" t="n">
        <x:f>T12/(1+'Inputs'!$B$15)^A12</x:f>
        <x:v>68987.76340786513</x:v>
      </x:c>
      <x:c r="W12" s="17" t="n">
        <x:f>W11+T12</x:f>
        <x:v>-1102.838050181439</x:v>
      </x:c>
      <x:c r="X12" s="17" t="n">
        <x:f>X11+V12</x:f>
        <x:v>-148264.05614829226</x:v>
      </x:c>
      <x:c r="Y12" s="17" t="n">
        <x:f>IF(T12=0,Y11,SIGN(T12))</x:f>
        <x:v>1</x:v>
      </x:c>
      <x:c r="Z12" s="17" t="n">
        <x:f>IF(AND(Y12&lt;&gt;0,Y11&lt;&gt;0,Y12&lt;&gt;Y11),1,0)</x:f>
        <x:v>0</x:v>
      </x:c>
      <x:c r="AA12" s="17" t="n">
        <x:f>IF(U12=0,AA11,SIGN(U12))</x:f>
        <x:v>1</x:v>
      </x:c>
      <x:c r="AB12" s="17" t="n">
        <x:f>IF(AND(AA12&lt;&gt;0,AA11&lt;&gt;0,AA12&lt;&gt;AA11),1,0)</x:f>
        <x:v>0</x:v>
      </x:c>
      <x:c r="AC12" s="20" t="n">
        <x:f>IF(AND(W11&lt;0,W12&gt;=0,T12&gt;0),A12-1-W11/T12,'Inputs'!$B$47+1)</x:f>
        <x:v>26</x:v>
      </x:c>
      <x:c r="AD12" s="20" t="n">
        <x:f>IF(AND(X11&lt;0,X12&gt;=0,V12&gt;0),A12-1-X11/V12,'Inputs'!$B$47+1)</x:f>
        <x:v>26</x:v>
      </x:c>
      <x:c r="AE12" s="16" t="n">
        <x:f>(SUM(H12:K12))/(1+'Inputs'!$B$15)^A12</x:f>
        <x:v>11811.394940234388</x:v>
      </x:c>
      <x:c r="AF12" s="16" t="n">
        <x:f>B12/(1+'Inputs'!$B$15)^A12</x:f>
        <x:v>278895.9112964931</x:v>
      </x:c>
    </x:row>
    <x:row r="13" ht="24" customHeight="1">
      <x:c r="A13" s="1" t="n">
        <x:v>7</x:v>
      </x:c>
      <x:c r="B13" s="16" t="n">
        <x:f>'Fast Estimate'!$B$5*'Inputs'!$B$10*(1-'Inputs'!$B$17)^(A13-1)</x:f>
        <x:v>440359.8966084201</x:v>
      </x:c>
      <x:c r="C13" s="16" t="n">
        <x:f>MIN('Inputs'!$B$6,B13*'Inputs'!$B$9)</x:f>
        <x:v>361095.11521890445</x:v>
      </x:c>
      <x:c r="D13" s="17" t="n">
        <x:f>B13-C13</x:f>
        <x:v>79264.78138951567</x:v>
      </x:c>
      <x:c r="E13" s="16" t="n">
        <x:f>'Inputs'!$B$6-C13</x:f>
        <x:v>192750.88478109555</x:v>
      </x:c>
      <x:c r="F13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13/'Inputs'!$B$48,'Inputs'!$B$35)*'Inputs'!$B$38+MAX(0,MIN(E13/'Inputs'!$B$48,'Inputs'!$B$36)-'Inputs'!$B$35)*'Inputs'!$B$39+MAX(0,MIN(E13/'Inputs'!$B$48,'Inputs'!$B$37)-'Inputs'!$B$36)*'Inputs'!$B$40+MAX(0,E13/'Inputs'!$B$48-'Inputs'!$B$37)*'Inputs'!$B$41+E13/'Inputs'!$B$48*'Inputs'!$B$42))*'Inputs'!$B$48*(1+'Inputs'!$B$16)^(A13-1)</x:f>
        <x:v>130128.55953258697</x:v>
      </x:c>
      <x:c r="G13" s="16" t="n">
        <x:f>D13*'Inputs'!$B$18*(1+'Inputs'!$B$16)^(A13-1)</x:f>
        <x:v>0</x:v>
      </x:c>
      <x:c r="H13" s="16" t="n">
        <x:f>'O&amp;M'!$B$11*(1+'Inputs'!$B$27)^(A13-1)</x:f>
        <x:v>15538.929831307081</x:v>
      </x:c>
      <x:c r="I13" s="16" t="n">
        <x:f>'Fast Estimate'!$B$9*'Inputs'!$B$25*(1+'Inputs'!$B$27)^(A13-1)</x:f>
        <x:v>3579.133504477731</x:v>
      </x:c>
      <x:c r="J13" s="16" t="n">
        <x:f>'Inputs'!$B$26*(1+'Inputs'!$B$27)^(A13-1)</x:f>
        <x:v>0</x:v>
      </x:c>
      <x:c r="K13" s="16" t="n">
        <x:f>IF(A13='Inputs'!$B$28,'Fast Estimate'!$B$9*'Inputs'!$B$29*(1+'Inputs'!$B$27)^(A13-1),0)</x:f>
        <x:v>0</x:v>
      </x:c>
      <x:c r="L13" s="17" t="n">
        <x:f>SUM(F13:G13)-SUM(H13:J13)</x:f>
        <x:v>111010.49619680215</x:v>
      </x:c>
      <x:c r="M13" s="16" t="n">
        <x:f>IF(A13&lt;='Inputs'!$B$34,'Fast Estimate'!$B$9/'Inputs'!$B$34,0)</x:f>
        <x:v>25425.345</x:v>
      </x:c>
      <x:c r="N13" s="16" t="n">
        <x:f>MAX(0,L13-M13)*'Inputs'!$B$33</x:f>
        <x:v>0</x:v>
      </x:c>
      <x:c r="O13" s="16" t="n">
        <x:f>MAX(0,L13-M13-R13)*'Inputs'!$B$33</x:f>
        <x:v>0</x:v>
      </x:c>
      <x:c r="P13" s="16" t="n">
        <x:f>MAX(0,'Fast Estimate'!$B$11-(A13-1)*'Fast Estimate'!$B$11/'Inputs'!$B$32)</x:f>
        <x:v>0</x:v>
      </x:c>
      <x:c r="Q13" s="16" t="n">
        <x:f>IF(A13&lt;='Inputs'!$B$32,'Fast Estimate'!$B$11/'Inputs'!$B$32,0)</x:f>
        <x:v>0</x:v>
      </x:c>
      <x:c r="R13" s="16" t="n">
        <x:f>P13*'Inputs'!$B$31</x:f>
        <x:v>0</x:v>
      </x:c>
      <x:c r="S13" s="17" t="n">
        <x:f>MAX(0,P13-Q13)</x:f>
        <x:v>0</x:v>
      </x:c>
      <x:c r="T13" s="17" t="n">
        <x:f>L13-N13-K13</x:f>
        <x:v>111010.49619680215</x:v>
      </x:c>
      <x:c r="U13" s="17" t="n">
        <x:f>L13-O13-K13-Q13-R13</x:f>
        <x:v>111010.49619680215</x:v>
      </x:c>
      <x:c r="V13" s="16" t="n">
        <x:f>T13/(1+'Inputs'!$B$15)^A13</x:f>
        <x:v>64773.55830411769</x:v>
      </x:c>
      <x:c r="W13" s="17" t="n">
        <x:f>W12+T13</x:f>
        <x:v>109907.65814662071</x:v>
      </x:c>
      <x:c r="X13" s="17" t="n">
        <x:f>X12+V13</x:f>
        <x:v>-83490.49784417458</x:v>
      </x:c>
      <x:c r="Y13" s="17" t="n">
        <x:f>IF(T13=0,Y12,SIGN(T13))</x:f>
        <x:v>1</x:v>
      </x:c>
      <x:c r="Z13" s="17" t="n">
        <x:f>IF(AND(Y13&lt;&gt;0,Y12&lt;&gt;0,Y13&lt;&gt;Y12),1,0)</x:f>
        <x:v>0</x:v>
      </x:c>
      <x:c r="AA13" s="17" t="n">
        <x:f>IF(U13=0,AA12,SIGN(U13))</x:f>
        <x:v>1</x:v>
      </x:c>
      <x:c r="AB13" s="17" t="n">
        <x:f>IF(AND(AA13&lt;&gt;0,AA12&lt;&gt;0,AA13&lt;&gt;AA12),1,0)</x:f>
        <x:v>0</x:v>
      </x:c>
      <x:c r="AC13" s="20" t="n">
        <x:f>IF(AND(W12&lt;0,W13&gt;=0,T13&gt;0),A13-1-W12/T13,'Inputs'!$B$47+1)</x:f>
        <x:v>6.0099345385163065</x:v>
      </x:c>
      <x:c r="AD13" s="20" t="n">
        <x:f>IF(AND(X12&lt;0,X13&gt;=0,V13&gt;0),A13-1-X12/V13,'Inputs'!$B$47+1)</x:f>
        <x:v>26</x:v>
      </x:c>
      <x:c r="AE13" s="16" t="n">
        <x:f>(SUM(H13:K13))/(1+'Inputs'!$B$15)^A13</x:f>
        <x:v>11155.206332443588</x:v>
      </x:c>
      <x:c r="AF13" s="16" t="n">
        <x:f>B13/(1+'Inputs'!$B$15)^A13</x:f>
        <x:v>256945.77012963942</x:v>
      </x:c>
    </x:row>
    <x:row r="14" ht="24" customHeight="1">
      <x:c r="A14" s="1" t="n">
        <x:v>8</x:v>
      </x:c>
      <x:c r="B14" s="16" t="n">
        <x:f>'Fast Estimate'!$B$5*'Inputs'!$B$10*(1-'Inputs'!$B$17)^(A14-1)</x:f>
        <x:v>438158.097125378</x:v>
      </x:c>
      <x:c r="C14" s="16" t="n">
        <x:f>MIN('Inputs'!$B$6,B14*'Inputs'!$B$9)</x:f>
        <x:v>359289.6396428099</x:v>
      </x:c>
      <x:c r="D14" s="17" t="n">
        <x:f>B14-C14</x:f>
        <x:v>78868.45748256805</x:v>
      </x:c>
      <x:c r="E14" s="16" t="n">
        <x:f>'Inputs'!$B$6-C14</x:f>
        <x:v>194556.36035719007</x:v>
      </x:c>
      <x:c r="F14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14/'Inputs'!$B$48,'Inputs'!$B$35)*'Inputs'!$B$38+MAX(0,MIN(E14/'Inputs'!$B$48,'Inputs'!$B$36)-'Inputs'!$B$35)*'Inputs'!$B$39+MAX(0,MIN(E14/'Inputs'!$B$48,'Inputs'!$B$37)-'Inputs'!$B$36)*'Inputs'!$B$40+MAX(0,E14/'Inputs'!$B$48-'Inputs'!$B$37)*'Inputs'!$B$41+E14/'Inputs'!$B$48*'Inputs'!$B$42))*'Inputs'!$B$48*(1+'Inputs'!$B$16)^(A14-1)</x:f>
        <x:v>132067.47506962254</x:v>
      </x:c>
      <x:c r="G14" s="16" t="n">
        <x:f>D14*'Inputs'!$B$18*(1+'Inputs'!$B$16)^(A14-1)</x:f>
        <x:v>0</x:v>
      </x:c>
      <x:c r="H14" s="16" t="n">
        <x:f>'O&amp;M'!$B$11*(1+'Inputs'!$B$27)^(A14-1)</x:f>
        <x:v>15849.708427933223</x:v>
      </x:c>
      <x:c r="I14" s="16" t="n">
        <x:f>'Fast Estimate'!$B$9*'Inputs'!$B$25*(1+'Inputs'!$B$27)^(A14-1)</x:f>
        <x:v>3650.7161745672856</x:v>
      </x:c>
      <x:c r="J14" s="16" t="n">
        <x:f>'Inputs'!$B$26*(1+'Inputs'!$B$27)^(A14-1)</x:f>
        <x:v>0</x:v>
      </x:c>
      <x:c r="K14" s="16" t="n">
        <x:f>IF(A14='Inputs'!$B$28,'Fast Estimate'!$B$9*'Inputs'!$B$29*(1+'Inputs'!$B$27)^(A14-1),0)</x:f>
        <x:v>0</x:v>
      </x:c>
      <x:c r="L14" s="17" t="n">
        <x:f>SUM(F14:G14)-SUM(H14:J14)</x:f>
        <x:v>112567.05046712203</x:v>
      </x:c>
      <x:c r="M14" s="16" t="n">
        <x:f>IF(A14&lt;='Inputs'!$B$34,'Fast Estimate'!$B$9/'Inputs'!$B$34,0)</x:f>
        <x:v>25425.345</x:v>
      </x:c>
      <x:c r="N14" s="16" t="n">
        <x:f>MAX(0,L14-M14)*'Inputs'!$B$33</x:f>
        <x:v>0</x:v>
      </x:c>
      <x:c r="O14" s="16" t="n">
        <x:f>MAX(0,L14-M14-R14)*'Inputs'!$B$33</x:f>
        <x:v>0</x:v>
      </x:c>
      <x:c r="P14" s="16" t="n">
        <x:f>MAX(0,'Fast Estimate'!$B$11-(A14-1)*'Fast Estimate'!$B$11/'Inputs'!$B$32)</x:f>
        <x:v>0</x:v>
      </x:c>
      <x:c r="Q14" s="16" t="n">
        <x:f>IF(A14&lt;='Inputs'!$B$32,'Fast Estimate'!$B$11/'Inputs'!$B$32,0)</x:f>
        <x:v>0</x:v>
      </x:c>
      <x:c r="R14" s="16" t="n">
        <x:f>P14*'Inputs'!$B$31</x:f>
        <x:v>0</x:v>
      </x:c>
      <x:c r="S14" s="17" t="n">
        <x:f>MAX(0,P14-Q14)</x:f>
        <x:v>0</x:v>
      </x:c>
      <x:c r="T14" s="17" t="n">
        <x:f>L14-N14-K14</x:f>
        <x:v>112567.05046712203</x:v>
      </x:c>
      <x:c r="U14" s="17" t="n">
        <x:f>L14-O14-K14-Q14-R14</x:f>
        <x:v>112567.05046712203</x:v>
      </x:c>
      <x:c r="V14" s="16" t="n">
        <x:f>T14/(1+'Inputs'!$B$15)^A14</x:f>
        <x:v>60816.47478754962</x:v>
      </x:c>
      <x:c r="W14" s="17" t="n">
        <x:f>W13+T14</x:f>
        <x:v>222474.70861374272</x:v>
      </x:c>
      <x:c r="X14" s="17" t="n">
        <x:f>X13+V14</x:f>
        <x:v>-22674.02305662496</x:v>
      </x:c>
      <x:c r="Y14" s="17" t="n">
        <x:f>IF(T14=0,Y13,SIGN(T14))</x:f>
        <x:v>1</x:v>
      </x:c>
      <x:c r="Z14" s="17" t="n">
        <x:f>IF(AND(Y14&lt;&gt;0,Y13&lt;&gt;0,Y14&lt;&gt;Y13),1,0)</x:f>
        <x:v>0</x:v>
      </x:c>
      <x:c r="AA14" s="17" t="n">
        <x:f>IF(U14=0,AA13,SIGN(U14))</x:f>
        <x:v>1</x:v>
      </x:c>
      <x:c r="AB14" s="17" t="n">
        <x:f>IF(AND(AA14&lt;&gt;0,AA13&lt;&gt;0,AA14&lt;&gt;AA13),1,0)</x:f>
        <x:v>0</x:v>
      </x:c>
      <x:c r="AC14" s="20" t="n">
        <x:f>IF(AND(W13&lt;0,W14&gt;=0,T14&gt;0),A14-1-W13/T14,'Inputs'!$B$47+1)</x:f>
        <x:v>26</x:v>
      </x:c>
      <x:c r="AD14" s="20" t="n">
        <x:f>IF(AND(X13&lt;0,X14&gt;=0,V14&gt;0),A14-1-X13/V14,'Inputs'!$B$47+1)</x:f>
        <x:v>26</x:v>
      </x:c>
      <x:c r="AE14" s="16" t="n">
        <x:f>(SUM(H14:K14))/(1+'Inputs'!$B$15)^A14</x:f>
        <x:v>10535.472647307834</x:v>
      </x:c>
      <x:c r="AF14" s="16" t="n">
        <x:f>B14/(1+'Inputs'!$B$15)^A14</x:f>
        <x:v>236723.1863694363</x:v>
      </x:c>
    </x:row>
    <x:row r="15" ht="24" customHeight="1">
      <x:c r="A15" s="1" t="n">
        <x:v>9</x:v>
      </x:c>
      <x:c r="B15" s="16" t="n">
        <x:f>'Fast Estimate'!$B$5*'Inputs'!$B$10*(1-'Inputs'!$B$17)^(A15-1)</x:f>
        <x:v>435967.3066397511</x:v>
      </x:c>
      <x:c r="C15" s="16" t="n">
        <x:f>MIN('Inputs'!$B$6,B15*'Inputs'!$B$9)</x:f>
        <x:v>357493.1914445959</x:v>
      </x:c>
      <x:c r="D15" s="17" t="n">
        <x:f>B15-C15</x:f>
        <x:v>78474.1151951552</x:v>
      </x:c>
      <x:c r="E15" s="16" t="n">
        <x:f>'Inputs'!$B$6-C15</x:f>
        <x:v>196352.80855540407</x:v>
      </x:c>
      <x:c r="F15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15/'Inputs'!$B$48,'Inputs'!$B$35)*'Inputs'!$B$38+MAX(0,MIN(E15/'Inputs'!$B$48,'Inputs'!$B$36)-'Inputs'!$B$35)*'Inputs'!$B$39+MAX(0,MIN(E15/'Inputs'!$B$48,'Inputs'!$B$37)-'Inputs'!$B$36)*'Inputs'!$B$40+MAX(0,E15/'Inputs'!$B$48-'Inputs'!$B$37)*'Inputs'!$B$41+E15/'Inputs'!$B$48*'Inputs'!$B$42))*'Inputs'!$B$48*(1+'Inputs'!$B$16)^(A15-1)</x:f>
        <x:v>134035.28044815993</x:v>
      </x:c>
      <x:c r="G15" s="16" t="n">
        <x:f>D15*'Inputs'!$B$18*(1+'Inputs'!$B$16)^(A15-1)</x:f>
        <x:v>0</x:v>
      </x:c>
      <x:c r="H15" s="16" t="n">
        <x:f>'O&amp;M'!$B$11*(1+'Inputs'!$B$27)^(A15-1)</x:f>
        <x:v>16166.702596491888</x:v>
      </x:c>
      <x:c r="I15" s="16" t="n">
        <x:f>'Fast Estimate'!$B$9*'Inputs'!$B$25*(1+'Inputs'!$B$27)^(A15-1)</x:f>
        <x:v>3723.730498058632</x:v>
      </x:c>
      <x:c r="J15" s="16" t="n">
        <x:f>'Inputs'!$B$26*(1+'Inputs'!$B$27)^(A15-1)</x:f>
        <x:v>0</x:v>
      </x:c>
      <x:c r="K15" s="16" t="n">
        <x:f>IF(A15='Inputs'!$B$28,'Fast Estimate'!$B$9*'Inputs'!$B$29*(1+'Inputs'!$B$27)^(A15-1),0)</x:f>
        <x:v>0</x:v>
      </x:c>
      <x:c r="L15" s="17" t="n">
        <x:f>SUM(F15:G15)-SUM(H15:J15)</x:f>
        <x:v>114144.84735360941</x:v>
      </x:c>
      <x:c r="M15" s="16" t="n">
        <x:f>IF(A15&lt;='Inputs'!$B$34,'Fast Estimate'!$B$9/'Inputs'!$B$34,0)</x:f>
        <x:v>25425.345</x:v>
      </x:c>
      <x:c r="N15" s="16" t="n">
        <x:f>MAX(0,L15-M15)*'Inputs'!$B$33</x:f>
        <x:v>0</x:v>
      </x:c>
      <x:c r="O15" s="16" t="n">
        <x:f>MAX(0,L15-M15-R15)*'Inputs'!$B$33</x:f>
        <x:v>0</x:v>
      </x:c>
      <x:c r="P15" s="16" t="n">
        <x:f>MAX(0,'Fast Estimate'!$B$11-(A15-1)*'Fast Estimate'!$B$11/'Inputs'!$B$32)</x:f>
        <x:v>0</x:v>
      </x:c>
      <x:c r="Q15" s="16" t="n">
        <x:f>IF(A15&lt;='Inputs'!$B$32,'Fast Estimate'!$B$11/'Inputs'!$B$32,0)</x:f>
        <x:v>0</x:v>
      </x:c>
      <x:c r="R15" s="16" t="n">
        <x:f>P15*'Inputs'!$B$31</x:f>
        <x:v>0</x:v>
      </x:c>
      <x:c r="S15" s="17" t="n">
        <x:f>MAX(0,P15-Q15)</x:f>
        <x:v>0</x:v>
      </x:c>
      <x:c r="T15" s="17" t="n">
        <x:f>L15-N15-K15</x:f>
        <x:v>114144.84735360941</x:v>
      </x:c>
      <x:c r="U15" s="17" t="n">
        <x:f>L15-O15-K15-Q15-R15</x:f>
        <x:v>114144.84735360941</x:v>
      </x:c>
      <x:c r="V15" s="16" t="n">
        <x:f>T15/(1+'Inputs'!$B$15)^A15</x:f>
        <x:v>57100.84199202115</x:v>
      </x:c>
      <x:c r="W15" s="17" t="n">
        <x:f>W14+T15</x:f>
        <x:v>336619.5559673521</x:v>
      </x:c>
      <x:c r="X15" s="17" t="n">
        <x:f>X14+V15</x:f>
        <x:v>34426.81893539619</x:v>
      </x:c>
      <x:c r="Y15" s="17" t="n">
        <x:f>IF(T15=0,Y14,SIGN(T15))</x:f>
        <x:v>1</x:v>
      </x:c>
      <x:c r="Z15" s="17" t="n">
        <x:f>IF(AND(Y15&lt;&gt;0,Y14&lt;&gt;0,Y15&lt;&gt;Y14),1,0)</x:f>
        <x:v>0</x:v>
      </x:c>
      <x:c r="AA15" s="17" t="n">
        <x:f>IF(U15=0,AA14,SIGN(U15))</x:f>
        <x:v>1</x:v>
      </x:c>
      <x:c r="AB15" s="17" t="n">
        <x:f>IF(AND(AA15&lt;&gt;0,AA14&lt;&gt;0,AA15&lt;&gt;AA14),1,0)</x:f>
        <x:v>0</x:v>
      </x:c>
      <x:c r="AC15" s="20" t="n">
        <x:f>IF(AND(W14&lt;0,W15&gt;=0,T15&gt;0),A15-1-W14/T15,'Inputs'!$B$47+1)</x:f>
        <x:v>26</x:v>
      </x:c>
      <x:c r="AD15" s="20" t="n">
        <x:f>IF(AND(X14&lt;0,X15&gt;=0,V15&gt;0),A15-1-X14/V15,'Inputs'!$B$47+1)</x:f>
        <x:v>8.397087367990007</x:v>
      </x:c>
      <x:c r="AE15" s="16" t="n">
        <x:f>(SUM(H15:K15))/(1+'Inputs'!$B$15)^A15</x:f>
        <x:v>9950.168611346287</x:v>
      </x:c>
      <x:c r="AF15" s="16" t="n">
        <x:f>B15/(1+'Inputs'!$B$15)^A15</x:f>
        <x:v>218092.19484961955</x:v>
      </x:c>
    </x:row>
    <x:row r="16" ht="24" customHeight="1">
      <x:c r="A16" s="1" t="n">
        <x:v>10</x:v>
      </x:c>
      <x:c r="B16" s="16" t="n">
        <x:f>'Fast Estimate'!$B$5*'Inputs'!$B$10*(1-'Inputs'!$B$17)^(A16-1)</x:f>
        <x:v>433787.47010655235</x:v>
      </x:c>
      <x:c r="C16" s="16" t="n">
        <x:f>MIN('Inputs'!$B$6,B16*'Inputs'!$B$9)</x:f>
        <x:v>355705.7254873729</x:v>
      </x:c>
      <x:c r="D16" s="17" t="n">
        <x:f>B16-C16</x:f>
        <x:v>78081.74461917946</x:v>
      </x:c>
      <x:c r="E16" s="16" t="n">
        <x:f>'Inputs'!$B$6-C16</x:f>
        <x:v>198140.2745126271</x:v>
      </x:c>
      <x:c r="F16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16/'Inputs'!$B$48,'Inputs'!$B$35)*'Inputs'!$B$38+MAX(0,MIN(E16/'Inputs'!$B$48,'Inputs'!$B$36)-'Inputs'!$B$35)*'Inputs'!$B$39+MAX(0,MIN(E16/'Inputs'!$B$48,'Inputs'!$B$37)-'Inputs'!$B$36)*'Inputs'!$B$40+MAX(0,E16/'Inputs'!$B$48-'Inputs'!$B$37)*'Inputs'!$B$41+E16/'Inputs'!$B$48*'Inputs'!$B$42))*'Inputs'!$B$48*(1+'Inputs'!$B$16)^(A16-1)</x:f>
        <x:v>136032.40612683748</x:v>
      </x:c>
      <x:c r="G16" s="16" t="n">
        <x:f>D16*'Inputs'!$B$18*(1+'Inputs'!$B$16)^(A16-1)</x:f>
        <x:v>0</x:v>
      </x:c>
      <x:c r="H16" s="16" t="n">
        <x:f>'O&amp;M'!$B$11*(1+'Inputs'!$B$27)^(A16-1)</x:f>
        <x:v>16490.036648421727</x:v>
      </x:c>
      <x:c r="I16" s="16" t="n">
        <x:f>'Fast Estimate'!$B$9*'Inputs'!$B$25*(1+'Inputs'!$B$27)^(A16-1)</x:f>
        <x:v>3798.2051080198044</x:v>
      </x:c>
      <x:c r="J16" s="16" t="n">
        <x:f>'Inputs'!$B$26*(1+'Inputs'!$B$27)^(A16-1)</x:f>
        <x:v>0</x:v>
      </x:c>
      <x:c r="K16" s="16" t="n">
        <x:f>IF(A16='Inputs'!$B$28,'Fast Estimate'!$B$9*'Inputs'!$B$29*(1+'Inputs'!$B$27)^(A16-1),0)</x:f>
        <x:v>0</x:v>
      </x:c>
      <x:c r="L16" s="17" t="n">
        <x:f>SUM(F16:G16)-SUM(H16:J16)</x:f>
        <x:v>115744.16437039594</x:v>
      </x:c>
      <x:c r="M16" s="16" t="n">
        <x:f>IF(A16&lt;='Inputs'!$B$34,'Fast Estimate'!$B$9/'Inputs'!$B$34,0)</x:f>
        <x:v>25425.345</x:v>
      </x:c>
      <x:c r="N16" s="16" t="n">
        <x:f>MAX(0,L16-M16)*'Inputs'!$B$33</x:f>
        <x:v>0</x:v>
      </x:c>
      <x:c r="O16" s="16" t="n">
        <x:f>MAX(0,L16-M16-R16)*'Inputs'!$B$33</x:f>
        <x:v>0</x:v>
      </x:c>
      <x:c r="P16" s="16" t="n">
        <x:f>MAX(0,'Fast Estimate'!$B$11-(A16-1)*'Fast Estimate'!$B$11/'Inputs'!$B$32)</x:f>
        <x:v>0</x:v>
      </x:c>
      <x:c r="Q16" s="16" t="n">
        <x:f>IF(A16&lt;='Inputs'!$B$32,'Fast Estimate'!$B$11/'Inputs'!$B$32,0)</x:f>
        <x:v>0</x:v>
      </x:c>
      <x:c r="R16" s="16" t="n">
        <x:f>P16*'Inputs'!$B$31</x:f>
        <x:v>0</x:v>
      </x:c>
      <x:c r="S16" s="17" t="n">
        <x:f>MAX(0,P16-Q16)</x:f>
        <x:v>0</x:v>
      </x:c>
      <x:c r="T16" s="17" t="n">
        <x:f>L16-N16-K16</x:f>
        <x:v>115744.16437039594</x:v>
      </x:c>
      <x:c r="U16" s="17" t="n">
        <x:f>L16-O16-K16-Q16-R16</x:f>
        <x:v>115744.16437039594</x:v>
      </x:c>
      <x:c r="V16" s="16" t="n">
        <x:f>T16/(1+'Inputs'!$B$15)^A16</x:f>
        <x:v>53611.94322017072</x:v>
      </x:c>
      <x:c r="W16" s="17" t="n">
        <x:f>W15+T16</x:f>
        <x:v>452363.72033774806</x:v>
      </x:c>
      <x:c r="X16" s="17" t="n">
        <x:f>X15+V16</x:f>
        <x:v>88038.76215556692</x:v>
      </x:c>
      <x:c r="Y16" s="17" t="n">
        <x:f>IF(T16=0,Y15,SIGN(T16))</x:f>
        <x:v>1</x:v>
      </x:c>
      <x:c r="Z16" s="17" t="n">
        <x:f>IF(AND(Y16&lt;&gt;0,Y15&lt;&gt;0,Y16&lt;&gt;Y15),1,0)</x:f>
        <x:v>0</x:v>
      </x:c>
      <x:c r="AA16" s="17" t="n">
        <x:f>IF(U16=0,AA15,SIGN(U16))</x:f>
        <x:v>1</x:v>
      </x:c>
      <x:c r="AB16" s="17" t="n">
        <x:f>IF(AND(AA16&lt;&gt;0,AA15&lt;&gt;0,AA16&lt;&gt;AA15),1,0)</x:f>
        <x:v>0</x:v>
      </x:c>
      <x:c r="AC16" s="20" t="n">
        <x:f>IF(AND(W15&lt;0,W16&gt;=0,T16&gt;0),A16-1-W15/T16,'Inputs'!$B$47+1)</x:f>
        <x:v>26</x:v>
      </x:c>
      <x:c r="AD16" s="20" t="n">
        <x:f>IF(AND(X15&lt;0,X16&gt;=0,V16&gt;0),A16-1-X15/V16,'Inputs'!$B$47+1)</x:f>
        <x:v>26</x:v>
      </x:c>
      <x:c r="AE16" s="16" t="n">
        <x:f>(SUM(H16:K16))/(1+'Inputs'!$B$15)^A16</x:f>
        <x:v>9397.381466271492</x:v>
      </x:c>
      <x:c r="AF16" s="16" t="n">
        <x:f>B16/(1+'Inputs'!$B$15)^A16</x:f>
        <x:v>200927.53136608464</x:v>
      </x:c>
    </x:row>
    <x:row r="17" ht="24" customHeight="1">
      <x:c r="A17" s="1" t="n">
        <x:v>11</x:v>
      </x:c>
      <x:c r="B17" s="16" t="n">
        <x:f>'Fast Estimate'!$B$5*'Inputs'!$B$10*(1-'Inputs'!$B$17)^(A17-1)</x:f>
        <x:v>431618.5327560196</x:v>
      </x:c>
      <x:c r="C17" s="16" t="n">
        <x:f>MIN('Inputs'!$B$6,B17*'Inputs'!$B$9)</x:f>
        <x:v>353927.19685993606</x:v>
      </x:c>
      <x:c r="D17" s="17" t="n">
        <x:f>B17-C17</x:f>
        <x:v>77691.33589608356</x:v>
      </x:c>
      <x:c r="E17" s="16" t="n">
        <x:f>'Inputs'!$B$6-C17</x:f>
        <x:v>199918.80314006394</x:v>
      </x:c>
      <x:c r="F17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17/'Inputs'!$B$48,'Inputs'!$B$35)*'Inputs'!$B$38+MAX(0,MIN(E17/'Inputs'!$B$48,'Inputs'!$B$36)-'Inputs'!$B$35)*'Inputs'!$B$39+MAX(0,MIN(E17/'Inputs'!$B$48,'Inputs'!$B$37)-'Inputs'!$B$36)*'Inputs'!$B$40+MAX(0,E17/'Inputs'!$B$48-'Inputs'!$B$37)*'Inputs'!$B$41+E17/'Inputs'!$B$48*'Inputs'!$B$42))*'Inputs'!$B$48*(1+'Inputs'!$B$16)^(A17-1)</x:f>
        <x:v>138059.28897812738</x:v>
      </x:c>
      <x:c r="G17" s="16" t="n">
        <x:f>D17*'Inputs'!$B$18*(1+'Inputs'!$B$16)^(A17-1)</x:f>
        <x:v>0</x:v>
      </x:c>
      <x:c r="H17" s="16" t="n">
        <x:f>'O&amp;M'!$B$11*(1+'Inputs'!$B$27)^(A17-1)</x:f>
        <x:v>16819.83738139016</x:v>
      </x:c>
      <x:c r="I17" s="16" t="n">
        <x:f>'Fast Estimate'!$B$9*'Inputs'!$B$25*(1+'Inputs'!$B$27)^(A17-1)</x:f>
        <x:v>3874.1692101802005</x:v>
      </x:c>
      <x:c r="J17" s="16" t="n">
        <x:f>'Inputs'!$B$26*(1+'Inputs'!$B$27)^(A17-1)</x:f>
        <x:v>0</x:v>
      </x:c>
      <x:c r="K17" s="16" t="n">
        <x:f>IF(A17='Inputs'!$B$28,'Fast Estimate'!$B$9*'Inputs'!$B$29*(1+'Inputs'!$B$27)^(A17-1),0)</x:f>
        <x:v>0</x:v>
      </x:c>
      <x:c r="L17" s="17" t="n">
        <x:f>SUM(F17:G17)-SUM(H17:J17)</x:f>
        <x:v>117365.28238655702</x:v>
      </x:c>
      <x:c r="M17" s="16" t="n">
        <x:f>IF(A17&lt;='Inputs'!$B$34,'Fast Estimate'!$B$9/'Inputs'!$B$34,0)</x:f>
        <x:v>25425.345</x:v>
      </x:c>
      <x:c r="N17" s="16" t="n">
        <x:f>MAX(0,L17-M17)*'Inputs'!$B$33</x:f>
        <x:v>0</x:v>
      </x:c>
      <x:c r="O17" s="16" t="n">
        <x:f>MAX(0,L17-M17-R17)*'Inputs'!$B$33</x:f>
        <x:v>0</x:v>
      </x:c>
      <x:c r="P17" s="16" t="n">
        <x:f>MAX(0,'Fast Estimate'!$B$11-(A17-1)*'Fast Estimate'!$B$11/'Inputs'!$B$32)</x:f>
        <x:v>0</x:v>
      </x:c>
      <x:c r="Q17" s="16" t="n">
        <x:f>IF(A17&lt;='Inputs'!$B$32,'Fast Estimate'!$B$11/'Inputs'!$B$32,0)</x:f>
        <x:v>0</x:v>
      </x:c>
      <x:c r="R17" s="16" t="n">
        <x:f>P17*'Inputs'!$B$31</x:f>
        <x:v>0</x:v>
      </x:c>
      <x:c r="S17" s="17" t="n">
        <x:f>MAX(0,P17-Q17)</x:f>
        <x:v>0</x:v>
      </x:c>
      <x:c r="T17" s="17" t="n">
        <x:f>L17-N17-K17</x:f>
        <x:v>117365.28238655702</x:v>
      </x:c>
      <x:c r="U17" s="17" t="n">
        <x:f>L17-O17-K17-Q17-R17</x:f>
        <x:v>117365.28238655702</x:v>
      </x:c>
      <x:c r="V17" s="16" t="n">
        <x:f>T17/(1+'Inputs'!$B$15)^A17</x:f>
        <x:v>50335.95789691972</x:v>
      </x:c>
      <x:c r="W17" s="17" t="n">
        <x:f>W16+T17</x:f>
        <x:v>569729.002724305</x:v>
      </x:c>
      <x:c r="X17" s="17" t="n">
        <x:f>X16+V17</x:f>
        <x:v>138374.72005248663</x:v>
      </x:c>
      <x:c r="Y17" s="17" t="n">
        <x:f>IF(T17=0,Y16,SIGN(T17))</x:f>
        <x:v>1</x:v>
      </x:c>
      <x:c r="Z17" s="17" t="n">
        <x:f>IF(AND(Y17&lt;&gt;0,Y16&lt;&gt;0,Y17&lt;&gt;Y16),1,0)</x:f>
        <x:v>0</x:v>
      </x:c>
      <x:c r="AA17" s="17" t="n">
        <x:f>IF(U17=0,AA16,SIGN(U17))</x:f>
        <x:v>1</x:v>
      </x:c>
      <x:c r="AB17" s="17" t="n">
        <x:f>IF(AND(AA17&lt;&gt;0,AA16&lt;&gt;0,AA17&lt;&gt;AA16),1,0)</x:f>
        <x:v>0</x:v>
      </x:c>
      <x:c r="AC17" s="20" t="n">
        <x:f>IF(AND(W16&lt;0,W17&gt;=0,T17&gt;0),A17-1-W16/T17,'Inputs'!$B$47+1)</x:f>
        <x:v>26</x:v>
      </x:c>
      <x:c r="AD17" s="20" t="n">
        <x:f>IF(AND(X16&lt;0,X17&gt;=0,V17&gt;0),A17-1-X16/V17,'Inputs'!$B$47+1)</x:f>
        <x:v>26</x:v>
      </x:c>
      <x:c r="AE17" s="16" t="n">
        <x:f>(SUM(H17:K17))/(1+'Inputs'!$B$15)^A17</x:f>
        <x:v>8875.304718145297</x:v>
      </x:c>
      <x:c r="AF17" s="16" t="n">
        <x:f>B17/(1+'Inputs'!$B$15)^A17</x:f>
        <x:v>185113.7904715317</x:v>
      </x:c>
    </x:row>
    <x:row r="18" ht="24" customHeight="1">
      <x:c r="A18" s="1" t="n">
        <x:v>12</x:v>
      </x:c>
      <x:c r="B18" s="16" t="n">
        <x:f>'Fast Estimate'!$B$5*'Inputs'!$B$10*(1-'Inputs'!$B$17)^(A18-1)</x:f>
        <x:v>429460.44009223947</x:v>
      </x:c>
      <x:c r="C18" s="16" t="n">
        <x:f>MIN('Inputs'!$B$6,B18*'Inputs'!$B$9)</x:f>
        <x:v>352157.56087563635</x:v>
      </x:c>
      <x:c r="D18" s="17" t="n">
        <x:f>B18-C18</x:f>
        <x:v>77302.87921660312</x:v>
      </x:c>
      <x:c r="E18" s="16" t="n">
        <x:f>'Inputs'!$B$6-C18</x:f>
        <x:v>201688.43912436365</x:v>
      </x:c>
      <x:c r="F18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18/'Inputs'!$B$48,'Inputs'!$B$35)*'Inputs'!$B$38+MAX(0,MIN(E18/'Inputs'!$B$48,'Inputs'!$B$36)-'Inputs'!$B$35)*'Inputs'!$B$39+MAX(0,MIN(E18/'Inputs'!$B$48,'Inputs'!$B$37)-'Inputs'!$B$36)*'Inputs'!$B$40+MAX(0,E18/'Inputs'!$B$48-'Inputs'!$B$37)*'Inputs'!$B$41+E18/'Inputs'!$B$48*'Inputs'!$B$42))*'Inputs'!$B$48*(1+'Inputs'!$B$16)^(A18-1)</x:f>
        <x:v>140116.37238390147</x:v>
      </x:c>
      <x:c r="G18" s="16" t="n">
        <x:f>D18*'Inputs'!$B$18*(1+'Inputs'!$B$16)^(A18-1)</x:f>
        <x:v>0</x:v>
      </x:c>
      <x:c r="H18" s="16" t="n">
        <x:f>'O&amp;M'!$B$11*(1+'Inputs'!$B$27)^(A18-1)</x:f>
        <x:v>17156.234129017965</x:v>
      </x:c>
      <x:c r="I18" s="16" t="n">
        <x:f>'Fast Estimate'!$B$9*'Inputs'!$B$25*(1+'Inputs'!$B$27)^(A18-1)</x:f>
        <x:v>3951.6525943838046</x:v>
      </x:c>
      <x:c r="J18" s="16" t="n">
        <x:f>'Inputs'!$B$26*(1+'Inputs'!$B$27)^(A18-1)</x:f>
        <x:v>0</x:v>
      </x:c>
      <x:c r="K18" s="16" t="n">
        <x:f>IF(A18='Inputs'!$B$28,'Fast Estimate'!$B$9*'Inputs'!$B$29*(1+'Inputs'!$B$27)^(A18-1),0)</x:f>
        <x:v>79033.05188767609</x:v>
      </x:c>
      <x:c r="L18" s="17" t="n">
        <x:f>SUM(F18:G18)-SUM(H18:J18)</x:f>
        <x:v>119008.4856604997</x:v>
      </x:c>
      <x:c r="M18" s="16" t="n">
        <x:f>IF(A18&lt;='Inputs'!$B$34,'Fast Estimate'!$B$9/'Inputs'!$B$34,0)</x:f>
        <x:v>25425.345</x:v>
      </x:c>
      <x:c r="N18" s="16" t="n">
        <x:f>MAX(0,L18-M18)*'Inputs'!$B$33</x:f>
        <x:v>0</x:v>
      </x:c>
      <x:c r="O18" s="16" t="n">
        <x:f>MAX(0,L18-M18-R18)*'Inputs'!$B$33</x:f>
        <x:v>0</x:v>
      </x:c>
      <x:c r="P18" s="16" t="n">
        <x:f>MAX(0,'Fast Estimate'!$B$11-(A18-1)*'Fast Estimate'!$B$11/'Inputs'!$B$32)</x:f>
        <x:v>0</x:v>
      </x:c>
      <x:c r="Q18" s="16" t="n">
        <x:f>IF(A18&lt;='Inputs'!$B$32,'Fast Estimate'!$B$11/'Inputs'!$B$32,0)</x:f>
        <x:v>0</x:v>
      </x:c>
      <x:c r="R18" s="16" t="n">
        <x:f>P18*'Inputs'!$B$31</x:f>
        <x:v>0</x:v>
      </x:c>
      <x:c r="S18" s="17" t="n">
        <x:f>MAX(0,P18-Q18)</x:f>
        <x:v>0</x:v>
      </x:c>
      <x:c r="T18" s="17" t="n">
        <x:f>L18-N18-K18</x:f>
        <x:v>39975.43377282361</x:v>
      </x:c>
      <x:c r="U18" s="17" t="n">
        <x:f>L18-O18-K18-Q18-R18</x:f>
        <x:v>39975.43377282361</x:v>
      </x:c>
      <x:c r="V18" s="16" t="n">
        <x:f>T18/(1+'Inputs'!$B$15)^A18</x:f>
        <x:v>15874.79475902988</x:v>
      </x:c>
      <x:c r="W18" s="17" t="n">
        <x:f>W17+T18</x:f>
        <x:v>609704.4364971287</x:v>
      </x:c>
      <x:c r="X18" s="17" t="n">
        <x:f>X17+V18</x:f>
        <x:v>154249.5148115165</x:v>
      </x:c>
      <x:c r="Y18" s="17" t="n">
        <x:f>IF(T18=0,Y17,SIGN(T18))</x:f>
        <x:v>1</x:v>
      </x:c>
      <x:c r="Z18" s="17" t="n">
        <x:f>IF(AND(Y18&lt;&gt;0,Y17&lt;&gt;0,Y18&lt;&gt;Y17),1,0)</x:f>
        <x:v>0</x:v>
      </x:c>
      <x:c r="AA18" s="17" t="n">
        <x:f>IF(U18=0,AA17,SIGN(U18))</x:f>
        <x:v>1</x:v>
      </x:c>
      <x:c r="AB18" s="17" t="n">
        <x:f>IF(AND(AA18&lt;&gt;0,AA17&lt;&gt;0,AA18&lt;&gt;AA17),1,0)</x:f>
        <x:v>0</x:v>
      </x:c>
      <x:c r="AC18" s="20" t="n">
        <x:f>IF(AND(W17&lt;0,W18&gt;=0,T18&gt;0),A18-1-W17/T18,'Inputs'!$B$47+1)</x:f>
        <x:v>26</x:v>
      </x:c>
      <x:c r="AD18" s="20" t="n">
        <x:f>IF(AND(X17&lt;0,X18&gt;=0,V18&gt;0),A18-1-X17/V18,'Inputs'!$B$47+1)</x:f>
        <x:v>26</x:v>
      </x:c>
      <x:c r="AE18" s="16" t="n">
        <x:f>(SUM(H18:K18))/(1+'Inputs'!$B$15)^A18</x:f>
        <x:v>39767.34452618259</x:v>
      </x:c>
      <x:c r="AF18" s="16" t="n">
        <x:f>B18/(1+'Inputs'!$B$15)^A18</x:f>
        <x:v>170544.64955479075</x:v>
      </x:c>
    </x:row>
    <x:row r="19" ht="24" customHeight="1">
      <x:c r="A19" s="1" t="n">
        <x:v>13</x:v>
      </x:c>
      <x:c r="B19" s="16" t="n">
        <x:f>'Fast Estimate'!$B$5*'Inputs'!$B$10*(1-'Inputs'!$B$17)^(A19-1)</x:f>
        <x:v>427313.13789177826</x:v>
      </x:c>
      <x:c r="C19" s="16" t="n">
        <x:f>MIN('Inputs'!$B$6,B19*'Inputs'!$B$9)</x:f>
        <x:v>350396.77307125815</x:v>
      </x:c>
      <x:c r="D19" s="17" t="n">
        <x:f>B19-C19</x:f>
        <x:v>76916.3648205201</x:v>
      </x:c>
      <x:c r="E19" s="16" t="n">
        <x:f>'Inputs'!$B$6-C19</x:f>
        <x:v>203449.22692874185</x:v>
      </x:c>
      <x:c r="F19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19/'Inputs'!$B$48,'Inputs'!$B$35)*'Inputs'!$B$38+MAX(0,MIN(E19/'Inputs'!$B$48,'Inputs'!$B$36)-'Inputs'!$B$35)*'Inputs'!$B$39+MAX(0,MIN(E19/'Inputs'!$B$48,'Inputs'!$B$37)-'Inputs'!$B$36)*'Inputs'!$B$40+MAX(0,E19/'Inputs'!$B$48-'Inputs'!$B$37)*'Inputs'!$B$41+E19/'Inputs'!$B$48*'Inputs'!$B$42))*'Inputs'!$B$48*(1+'Inputs'!$B$16)^(A19-1)</x:f>
        <x:v>142204.10633242156</x:v>
      </x:c>
      <x:c r="G19" s="16" t="n">
        <x:f>D19*'Inputs'!$B$18*(1+'Inputs'!$B$16)^(A19-1)</x:f>
        <x:v>0</x:v>
      </x:c>
      <x:c r="H19" s="16" t="n">
        <x:f>'O&amp;M'!$B$11*(1+'Inputs'!$B$27)^(A19-1)</x:f>
        <x:v>17499.358811598322</x:v>
      </x:c>
      <x:c r="I19" s="16" t="n">
        <x:f>'Fast Estimate'!$B$9*'Inputs'!$B$25*(1+'Inputs'!$B$27)^(A19-1)</x:f>
        <x:v>4030.6856462714804</x:v>
      </x:c>
      <x:c r="J19" s="16" t="n">
        <x:f>'Inputs'!$B$26*(1+'Inputs'!$B$27)^(A19-1)</x:f>
        <x:v>0</x:v>
      </x:c>
      <x:c r="K19" s="16" t="n">
        <x:f>IF(A19='Inputs'!$B$28,'Fast Estimate'!$B$9*'Inputs'!$B$29*(1+'Inputs'!$B$27)^(A19-1),0)</x:f>
        <x:v>0</x:v>
      </x:c>
      <x:c r="L19" s="17" t="n">
        <x:f>SUM(F19:G19)-SUM(H19:J19)</x:f>
        <x:v>120674.06187455176</x:v>
      </x:c>
      <x:c r="M19" s="16" t="n">
        <x:f>IF(A19&lt;='Inputs'!$B$34,'Fast Estimate'!$B$9/'Inputs'!$B$34,0)</x:f>
        <x:v>25425.345</x:v>
      </x:c>
      <x:c r="N19" s="16" t="n">
        <x:f>MAX(0,L19-M19)*'Inputs'!$B$33</x:f>
        <x:v>0</x:v>
      </x:c>
      <x:c r="O19" s="16" t="n">
        <x:f>MAX(0,L19-M19-R19)*'Inputs'!$B$33</x:f>
        <x:v>0</x:v>
      </x:c>
      <x:c r="P19" s="16" t="n">
        <x:f>MAX(0,'Fast Estimate'!$B$11-(A19-1)*'Fast Estimate'!$B$11/'Inputs'!$B$32)</x:f>
        <x:v>0</x:v>
      </x:c>
      <x:c r="Q19" s="16" t="n">
        <x:f>IF(A19&lt;='Inputs'!$B$32,'Fast Estimate'!$B$11/'Inputs'!$B$32,0)</x:f>
        <x:v>0</x:v>
      </x:c>
      <x:c r="R19" s="16" t="n">
        <x:f>P19*'Inputs'!$B$31</x:f>
        <x:v>0</x:v>
      </x:c>
      <x:c r="S19" s="17" t="n">
        <x:f>MAX(0,P19-Q19)</x:f>
        <x:v>0</x:v>
      </x:c>
      <x:c r="T19" s="17" t="n">
        <x:f>L19-N19-K19</x:f>
        <x:v>120674.06187455176</x:v>
      </x:c>
      <x:c r="U19" s="17" t="n">
        <x:f>L19-O19-K19-Q19-R19</x:f>
        <x:v>120674.06187455176</x:v>
      </x:c>
      <x:c r="V19" s="16" t="n">
        <x:f>T19/(1+'Inputs'!$B$15)^A19</x:f>
        <x:v>44371.60211303903</x:v>
      </x:c>
      <x:c r="W19" s="17" t="n">
        <x:f>W18+T19</x:f>
        <x:v>730378.4983716805</x:v>
      </x:c>
      <x:c r="X19" s="17" t="n">
        <x:f>X18+V19</x:f>
        <x:v>198621.11692455554</x:v>
      </x:c>
      <x:c r="Y19" s="17" t="n">
        <x:f>IF(T19=0,Y18,SIGN(T19))</x:f>
        <x:v>1</x:v>
      </x:c>
      <x:c r="Z19" s="17" t="n">
        <x:f>IF(AND(Y19&lt;&gt;0,Y18&lt;&gt;0,Y19&lt;&gt;Y18),1,0)</x:f>
        <x:v>0</x:v>
      </x:c>
      <x:c r="AA19" s="17" t="n">
        <x:f>IF(U19=0,AA18,SIGN(U19))</x:f>
        <x:v>1</x:v>
      </x:c>
      <x:c r="AB19" s="17" t="n">
        <x:f>IF(AND(AA19&lt;&gt;0,AA18&lt;&gt;0,AA19&lt;&gt;AA18),1,0)</x:f>
        <x:v>0</x:v>
      </x:c>
      <x:c r="AC19" s="20" t="n">
        <x:f>IF(AND(W18&lt;0,W19&gt;=0,T19&gt;0),A19-1-W18/T19,'Inputs'!$B$47+1)</x:f>
        <x:v>26</x:v>
      </x:c>
      <x:c r="AD19" s="20" t="n">
        <x:f>IF(AND(X18&lt;0,X19&gt;=0,V19&gt;0),A19-1-X18/V19,'Inputs'!$B$47+1)</x:f>
        <x:v>26</x:v>
      </x:c>
      <x:c r="AE19" s="16" t="n">
        <x:f>(SUM(H19:K19))/(1+'Inputs'!$B$15)^A19</x:f>
        <x:v>7916.552665259229</x:v>
      </x:c>
      <x:c r="AF19" s="16" t="n">
        <x:f>B19/(1+'Inputs'!$B$15)^A19</x:f>
        <x:v>157122.1539879785</x:v>
      </x:c>
    </x:row>
    <x:row r="20" ht="24" customHeight="1">
      <x:c r="A20" s="1" t="n">
        <x:v>14</x:v>
      </x:c>
      <x:c r="B20" s="16" t="n">
        <x:f>'Fast Estimate'!$B$5*'Inputs'!$B$10*(1-'Inputs'!$B$17)^(A20-1)</x:f>
        <x:v>425176.5722023194</x:v>
      </x:c>
      <x:c r="C20" s="16" t="n">
        <x:f>MIN('Inputs'!$B$6,B20*'Inputs'!$B$9)</x:f>
        <x:v>348644.7892059019</x:v>
      </x:c>
      <x:c r="D20" s="17" t="n">
        <x:f>B20-C20</x:f>
        <x:v>76531.78299641749</x:v>
      </x:c>
      <x:c r="E20" s="16" t="n">
        <x:f>'Inputs'!$B$6-C20</x:f>
        <x:v>205201.2107940981</x:v>
      </x:c>
      <x:c r="F20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20/'Inputs'!$B$48,'Inputs'!$B$35)*'Inputs'!$B$38+MAX(0,MIN(E20/'Inputs'!$B$48,'Inputs'!$B$36)-'Inputs'!$B$35)*'Inputs'!$B$39+MAX(0,MIN(E20/'Inputs'!$B$48,'Inputs'!$B$37)-'Inputs'!$B$36)*'Inputs'!$B$40+MAX(0,E20/'Inputs'!$B$48-'Inputs'!$B$37)*'Inputs'!$B$41+E20/'Inputs'!$B$48*'Inputs'!$B$42))*'Inputs'!$B$48*(1+'Inputs'!$B$16)^(A20-1)</x:f>
        <x:v>144322.9475167747</x:v>
      </x:c>
      <x:c r="G20" s="16" t="n">
        <x:f>D20*'Inputs'!$B$18*(1+'Inputs'!$B$16)^(A20-1)</x:f>
        <x:v>0</x:v>
      </x:c>
      <x:c r="H20" s="16" t="n">
        <x:f>'O&amp;M'!$B$11*(1+'Inputs'!$B$27)^(A20-1)</x:f>
        <x:v>17849.345987830293</x:v>
      </x:c>
      <x:c r="I20" s="16" t="n">
        <x:f>'Fast Estimate'!$B$9*'Inputs'!$B$25*(1+'Inputs'!$B$27)^(A20-1)</x:f>
        <x:v>4111.299359196911</x:v>
      </x:c>
      <x:c r="J20" s="16" t="n">
        <x:f>'Inputs'!$B$26*(1+'Inputs'!$B$27)^(A20-1)</x:f>
        <x:v>0</x:v>
      </x:c>
      <x:c r="K20" s="16" t="n">
        <x:f>IF(A20='Inputs'!$B$28,'Fast Estimate'!$B$9*'Inputs'!$B$29*(1+'Inputs'!$B$27)^(A20-1),0)</x:f>
        <x:v>0</x:v>
      </x:c>
      <x:c r="L20" s="17" t="n">
        <x:f>SUM(F20:G20)-SUM(H20:J20)</x:f>
        <x:v>122362.3021697475</x:v>
      </x:c>
      <x:c r="M20" s="16" t="n">
        <x:f>IF(A20&lt;='Inputs'!$B$34,'Fast Estimate'!$B$9/'Inputs'!$B$34,0)</x:f>
        <x:v>25425.345</x:v>
      </x:c>
      <x:c r="N20" s="16" t="n">
        <x:f>MAX(0,L20-M20)*'Inputs'!$B$33</x:f>
        <x:v>0</x:v>
      </x:c>
      <x:c r="O20" s="16" t="n">
        <x:f>MAX(0,L20-M20-R20)*'Inputs'!$B$33</x:f>
        <x:v>0</x:v>
      </x:c>
      <x:c r="P20" s="16" t="n">
        <x:f>MAX(0,'Fast Estimate'!$B$11-(A20-1)*'Fast Estimate'!$B$11/'Inputs'!$B$32)</x:f>
        <x:v>0</x:v>
      </x:c>
      <x:c r="Q20" s="16" t="n">
        <x:f>IF(A20&lt;='Inputs'!$B$32,'Fast Estimate'!$B$11/'Inputs'!$B$32,0)</x:f>
        <x:v>0</x:v>
      </x:c>
      <x:c r="R20" s="16" t="n">
        <x:f>P20*'Inputs'!$B$31</x:f>
        <x:v>0</x:v>
      </x:c>
      <x:c r="S20" s="17" t="n">
        <x:f>MAX(0,P20-Q20)</x:f>
        <x:v>0</x:v>
      </x:c>
      <x:c r="T20" s="17" t="n">
        <x:f>L20-N20-K20</x:f>
        <x:v>122362.3021697475</x:v>
      </x:c>
      <x:c r="U20" s="17" t="n">
        <x:f>L20-O20-K20-Q20-R20</x:f>
        <x:v>122362.3021697475</x:v>
      </x:c>
      <x:c r="V20" s="16" t="n">
        <x:f>T20/(1+'Inputs'!$B$15)^A20</x:f>
        <x:v>41659.596820306026</x:v>
      </x:c>
      <x:c r="W20" s="17" t="n">
        <x:f>W19+T20</x:f>
        <x:v>852740.800541428</x:v>
      </x:c>
      <x:c r="X20" s="17" t="n">
        <x:f>X19+V20</x:f>
        <x:v>240280.71374486157</x:v>
      </x:c>
      <x:c r="Y20" s="17" t="n">
        <x:f>IF(T20=0,Y19,SIGN(T20))</x:f>
        <x:v>1</x:v>
      </x:c>
      <x:c r="Z20" s="17" t="n">
        <x:f>IF(AND(Y20&lt;&gt;0,Y19&lt;&gt;0,Y20&lt;&gt;Y19),1,0)</x:f>
        <x:v>0</x:v>
      </x:c>
      <x:c r="AA20" s="17" t="n">
        <x:f>IF(U20=0,AA19,SIGN(U20))</x:f>
        <x:v>1</x:v>
      </x:c>
      <x:c r="AB20" s="17" t="n">
        <x:f>IF(AND(AA20&lt;&gt;0,AA19&lt;&gt;0,AA20&lt;&gt;AA19),1,0)</x:f>
        <x:v>0</x:v>
      </x:c>
      <x:c r="AC20" s="20" t="n">
        <x:f>IF(AND(W19&lt;0,W20&gt;=0,T20&gt;0),A20-1-W19/T20,'Inputs'!$B$47+1)</x:f>
        <x:v>26</x:v>
      </x:c>
      <x:c r="AD20" s="20" t="n">
        <x:f>IF(AND(X19&lt;0,X20&gt;=0,V20&gt;0),A20-1-X19/V20,'Inputs'!$B$47+1)</x:f>
        <x:v>26</x:v>
      </x:c>
      <x:c r="AE20" s="16" t="n">
        <x:f>(SUM(H20:K20))/(1+'Inputs'!$B$15)^A20</x:f>
        <x:v>7476.744183855941</x:v>
      </x:c>
      <x:c r="AF20" s="16" t="n">
        <x:f>B20/(1+'Inputs'!$B$15)^A20</x:f>
        <x:v>144756.05853522092</x:v>
      </x:c>
    </x:row>
    <x:row r="21" ht="24" customHeight="1">
      <x:c r="A21" s="1" t="n">
        <x:v>15</x:v>
      </x:c>
      <x:c r="B21" s="16" t="n">
        <x:f>'Fast Estimate'!$B$5*'Inputs'!$B$10*(1-'Inputs'!$B$17)^(A21-1)</x:f>
        <x:v>423050.6893413078</x:v>
      </x:c>
      <x:c r="C21" s="16" t="n">
        <x:f>MIN('Inputs'!$B$6,B21*'Inputs'!$B$9)</x:f>
        <x:v>346901.56525987235</x:v>
      </x:c>
      <x:c r="D21" s="17" t="n">
        <x:f>B21-C21</x:f>
        <x:v>76149.12408143544</x:v>
      </x:c>
      <x:c r="E21" s="16" t="n">
        <x:f>'Inputs'!$B$6-C21</x:f>
        <x:v>206944.43474012765</x:v>
      </x:c>
      <x:c r="F21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21/'Inputs'!$B$48,'Inputs'!$B$35)*'Inputs'!$B$38+MAX(0,MIN(E21/'Inputs'!$B$48,'Inputs'!$B$36)-'Inputs'!$B$35)*'Inputs'!$B$39+MAX(0,MIN(E21/'Inputs'!$B$48,'Inputs'!$B$37)-'Inputs'!$B$36)*'Inputs'!$B$40+MAX(0,E21/'Inputs'!$B$48-'Inputs'!$B$37)*'Inputs'!$B$41+E21/'Inputs'!$B$48*'Inputs'!$B$42))*'Inputs'!$B$48*(1+'Inputs'!$B$16)^(A21-1)</x:f>
        <x:v>146473.35943477464</x:v>
      </x:c>
      <x:c r="G21" s="16" t="n">
        <x:f>D21*'Inputs'!$B$18*(1+'Inputs'!$B$16)^(A21-1)</x:f>
        <x:v>0</x:v>
      </x:c>
      <x:c r="H21" s="16" t="n">
        <x:f>'O&amp;M'!$B$11*(1+'Inputs'!$B$27)^(A21-1)</x:f>
        <x:v>18206.332907586897</x:v>
      </x:c>
      <x:c r="I21" s="16" t="n">
        <x:f>'Fast Estimate'!$B$9*'Inputs'!$B$25*(1+'Inputs'!$B$27)^(A21-1)</x:f>
        <x:v>4193.5253463808485</x:v>
      </x:c>
      <x:c r="J21" s="16" t="n">
        <x:f>'Inputs'!$B$26*(1+'Inputs'!$B$27)^(A21-1)</x:f>
        <x:v>0</x:v>
      </x:c>
      <x:c r="K21" s="16" t="n">
        <x:f>IF(A21='Inputs'!$B$28,'Fast Estimate'!$B$9*'Inputs'!$B$29*(1+'Inputs'!$B$27)^(A21-1),0)</x:f>
        <x:v>0</x:v>
      </x:c>
      <x:c r="L21" s="17" t="n">
        <x:f>SUM(F21:G21)-SUM(H21:J21)</x:f>
        <x:v>124073.5011808069</x:v>
      </x:c>
      <x:c r="M21" s="16" t="n">
        <x:f>IF(A21&lt;='Inputs'!$B$34,'Fast Estimate'!$B$9/'Inputs'!$B$34,0)</x:f>
        <x:v>25425.345</x:v>
      </x:c>
      <x:c r="N21" s="16" t="n">
        <x:f>MAX(0,L21-M21)*'Inputs'!$B$33</x:f>
        <x:v>0</x:v>
      </x:c>
      <x:c r="O21" s="16" t="n">
        <x:f>MAX(0,L21-M21-R21)*'Inputs'!$B$33</x:f>
        <x:v>0</x:v>
      </x:c>
      <x:c r="P21" s="16" t="n">
        <x:f>MAX(0,'Fast Estimate'!$B$11-(A21-1)*'Fast Estimate'!$B$11/'Inputs'!$B$32)</x:f>
        <x:v>0</x:v>
      </x:c>
      <x:c r="Q21" s="16" t="n">
        <x:f>IF(A21&lt;='Inputs'!$B$32,'Fast Estimate'!$B$11/'Inputs'!$B$32,0)</x:f>
        <x:v>0</x:v>
      </x:c>
      <x:c r="R21" s="16" t="n">
        <x:f>P21*'Inputs'!$B$31</x:f>
        <x:v>0</x:v>
      </x:c>
      <x:c r="S21" s="17" t="n">
        <x:f>MAX(0,P21-Q21)</x:f>
        <x:v>0</x:v>
      </x:c>
      <x:c r="T21" s="17" t="n">
        <x:f>L21-N21-K21</x:f>
        <x:v>124073.5011808069</x:v>
      </x:c>
      <x:c r="U21" s="17" t="n">
        <x:f>L21-O21-K21-Q21-R21</x:f>
        <x:v>124073.5011808069</x:v>
      </x:c>
      <x:c r="V21" s="16" t="n">
        <x:f>T21/(1+'Inputs'!$B$15)^A21</x:f>
        <x:v>39113.14205332492</x:v>
      </x:c>
      <x:c r="W21" s="17" t="n">
        <x:f>W20+T21</x:f>
        <x:v>976814.3017222349</x:v>
      </x:c>
      <x:c r="X21" s="17" t="n">
        <x:f>X20+V21</x:f>
        <x:v>279393.8557981865</x:v>
      </x:c>
      <x:c r="Y21" s="17" t="n">
        <x:f>IF(T21=0,Y20,SIGN(T21))</x:f>
        <x:v>1</x:v>
      </x:c>
      <x:c r="Z21" s="17" t="n">
        <x:f>IF(AND(Y21&lt;&gt;0,Y20&lt;&gt;0,Y21&lt;&gt;Y20),1,0)</x:f>
        <x:v>0</x:v>
      </x:c>
      <x:c r="AA21" s="17" t="n">
        <x:f>IF(U21=0,AA20,SIGN(U21))</x:f>
        <x:v>1</x:v>
      </x:c>
      <x:c r="AB21" s="17" t="n">
        <x:f>IF(AND(AA21&lt;&gt;0,AA20&lt;&gt;0,AA21&lt;&gt;AA20),1,0)</x:f>
        <x:v>0</x:v>
      </x:c>
      <x:c r="AC21" s="20" t="n">
        <x:f>IF(AND(W20&lt;0,W21&gt;=0,T21&gt;0),A21-1-W20/T21,'Inputs'!$B$47+1)</x:f>
        <x:v>26</x:v>
      </x:c>
      <x:c r="AD21" s="20" t="n">
        <x:f>IF(AND(X20&lt;0,X21&gt;=0,V21&gt;0),A21-1-X20/V21,'Inputs'!$B$47+1)</x:f>
        <x:v>26</x:v>
      </x:c>
      <x:c r="AE21" s="16" t="n">
        <x:f>(SUM(H21:K21))/(1+'Inputs'!$B$15)^A21</x:f>
        <x:v>7061.369506975054</x:v>
      </x:c>
      <x:c r="AF21" s="16" t="n">
        <x:f>B21/(1+'Inputs'!$B$15)^A21</x:f>
        <x:v>133363.22059494889</x:v>
      </x:c>
    </x:row>
    <x:row r="22" ht="24" customHeight="1">
      <x:c r="A22" s="1" t="n">
        <x:v>16</x:v>
      </x:c>
      <x:c r="B22" s="16" t="n">
        <x:f>'Fast Estimate'!$B$5*'Inputs'!$B$10*(1-'Inputs'!$B$17)^(A22-1)</x:f>
        <x:v>420935.4358946013</x:v>
      </x:c>
      <x:c r="C22" s="16" t="n">
        <x:f>MIN('Inputs'!$B$6,B22*'Inputs'!$B$9)</x:f>
        <x:v>345167.057433573</x:v>
      </x:c>
      <x:c r="D22" s="17" t="n">
        <x:f>B22-C22</x:f>
        <x:v>75768.37846102827</x:v>
      </x:c>
      <x:c r="E22" s="16" t="n">
        <x:f>'Inputs'!$B$6-C22</x:f>
        <x:v>208678.942566427</x:v>
      </x:c>
      <x:c r="F22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22/'Inputs'!$B$48,'Inputs'!$B$35)*'Inputs'!$B$38+MAX(0,MIN(E22/'Inputs'!$B$48,'Inputs'!$B$36)-'Inputs'!$B$35)*'Inputs'!$B$39+MAX(0,MIN(E22/'Inputs'!$B$48,'Inputs'!$B$37)-'Inputs'!$B$36)*'Inputs'!$B$40+MAX(0,E22/'Inputs'!$B$48-'Inputs'!$B$37)*'Inputs'!$B$41+E22/'Inputs'!$B$48*'Inputs'!$B$42))*'Inputs'!$B$48*(1+'Inputs'!$B$16)^(A22-1)</x:f>
        <x:v>148655.81249035278</x:v>
      </x:c>
      <x:c r="G22" s="16" t="n">
        <x:f>D22*'Inputs'!$B$18*(1+'Inputs'!$B$16)^(A22-1)</x:f>
        <x:v>0</x:v>
      </x:c>
      <x:c r="H22" s="16" t="n">
        <x:f>'O&amp;M'!$B$11*(1+'Inputs'!$B$27)^(A22-1)</x:f>
        <x:v>18570.459565738634</x:v>
      </x:c>
      <x:c r="I22" s="16" t="n">
        <x:f>'Fast Estimate'!$B$9*'Inputs'!$B$25*(1+'Inputs'!$B$27)^(A22-1)</x:f>
        <x:v>4277.395853308466</x:v>
      </x:c>
      <x:c r="J22" s="16" t="n">
        <x:f>'Inputs'!$B$26*(1+'Inputs'!$B$27)^(A22-1)</x:f>
        <x:v>0</x:v>
      </x:c>
      <x:c r="K22" s="16" t="n">
        <x:f>IF(A22='Inputs'!$B$28,'Fast Estimate'!$B$9*'Inputs'!$B$29*(1+'Inputs'!$B$27)^(A22-1),0)</x:f>
        <x:v>0</x:v>
      </x:c>
      <x:c r="L22" s="17" t="n">
        <x:f>SUM(F22:G22)-SUM(H22:J22)</x:f>
        <x:v>125807.95707130567</x:v>
      </x:c>
      <x:c r="M22" s="16" t="n">
        <x:f>IF(A22&lt;='Inputs'!$B$34,'Fast Estimate'!$B$9/'Inputs'!$B$34,0)</x:f>
        <x:v>25425.345</x:v>
      </x:c>
      <x:c r="N22" s="16" t="n">
        <x:f>MAX(0,L22-M22)*'Inputs'!$B$33</x:f>
        <x:v>0</x:v>
      </x:c>
      <x:c r="O22" s="16" t="n">
        <x:f>MAX(0,L22-M22-R22)*'Inputs'!$B$33</x:f>
        <x:v>0</x:v>
      </x:c>
      <x:c r="P22" s="16" t="n">
        <x:f>MAX(0,'Fast Estimate'!$B$11-(A22-1)*'Fast Estimate'!$B$11/'Inputs'!$B$32)</x:f>
        <x:v>0</x:v>
      </x:c>
      <x:c r="Q22" s="16" t="n">
        <x:f>IF(A22&lt;='Inputs'!$B$32,'Fast Estimate'!$B$11/'Inputs'!$B$32,0)</x:f>
        <x:v>0</x:v>
      </x:c>
      <x:c r="R22" s="16" t="n">
        <x:f>P22*'Inputs'!$B$31</x:f>
        <x:v>0</x:v>
      </x:c>
      <x:c r="S22" s="17" t="n">
        <x:f>MAX(0,P22-Q22)</x:f>
        <x:v>0</x:v>
      </x:c>
      <x:c r="T22" s="17" t="n">
        <x:f>L22-N22-K22</x:f>
        <x:v>125807.95707130567</x:v>
      </x:c>
      <x:c r="U22" s="17" t="n">
        <x:f>L22-O22-K22-Q22-R22</x:f>
        <x:v>125807.95707130567</x:v>
      </x:c>
      <x:c r="V22" s="16" t="n">
        <x:f>T22/(1+'Inputs'!$B$15)^A22</x:f>
        <x:v>36722.14341243878</x:v>
      </x:c>
      <x:c r="W22" s="17" t="n">
        <x:f>W21+T22</x:f>
        <x:v>1102622.2587935405</x:v>
      </x:c>
      <x:c r="X22" s="17" t="n">
        <x:f>X21+V22</x:f>
        <x:v>316115.9992106253</x:v>
      </x:c>
      <x:c r="Y22" s="17" t="n">
        <x:f>IF(T22=0,Y21,SIGN(T22))</x:f>
        <x:v>1</x:v>
      </x:c>
      <x:c r="Z22" s="17" t="n">
        <x:f>IF(AND(Y22&lt;&gt;0,Y21&lt;&gt;0,Y22&lt;&gt;Y21),1,0)</x:f>
        <x:v>0</x:v>
      </x:c>
      <x:c r="AA22" s="17" t="n">
        <x:f>IF(U22=0,AA21,SIGN(U22))</x:f>
        <x:v>1</x:v>
      </x:c>
      <x:c r="AB22" s="17" t="n">
        <x:f>IF(AND(AA22&lt;&gt;0,AA21&lt;&gt;0,AA22&lt;&gt;AA21),1,0)</x:f>
        <x:v>0</x:v>
      </x:c>
      <x:c r="AC22" s="20" t="n">
        <x:f>IF(AND(W21&lt;0,W22&gt;=0,T22&gt;0),A22-1-W21/T22,'Inputs'!$B$47+1)</x:f>
        <x:v>26</x:v>
      </x:c>
      <x:c r="AD22" s="20" t="n">
        <x:f>IF(AND(X21&lt;0,X22&gt;=0,V22&gt;0),A22-1-X21/V22,'Inputs'!$B$47+1)</x:f>
        <x:v>26</x:v>
      </x:c>
      <x:c r="AE22" s="16" t="n">
        <x:f>(SUM(H22:K22))/(1+'Inputs'!$B$15)^A22</x:f>
        <x:v>6669.071201031995</x:v>
      </x:c>
      <x:c r="AF22" s="16" t="n">
        <x:f>B22/(1+'Inputs'!$B$15)^A22</x:f>
        <x:v>122867.04119627236</x:v>
      </x:c>
    </x:row>
    <x:row r="23" ht="24" customHeight="1">
      <x:c r="A23" s="1" t="n">
        <x:v>17</x:v>
      </x:c>
      <x:c r="B23" s="16" t="n">
        <x:f>'Fast Estimate'!$B$5*'Inputs'!$B$10*(1-'Inputs'!$B$17)^(A23-1)</x:f>
        <x:v>418830.75871512824</x:v>
      </x:c>
      <x:c r="C23" s="16" t="n">
        <x:f>MIN('Inputs'!$B$6,B23*'Inputs'!$B$9)</x:f>
        <x:v>343441.22214640514</x:v>
      </x:c>
      <x:c r="D23" s="17" t="n">
        <x:f>B23-C23</x:f>
        <x:v>75389.5365687231</x:v>
      </x:c>
      <x:c r="E23" s="16" t="n">
        <x:f>'Inputs'!$B$6-C23</x:f>
        <x:v>210404.77785359486</x:v>
      </x:c>
      <x:c r="F23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23/'Inputs'!$B$48,'Inputs'!$B$35)*'Inputs'!$B$38+MAX(0,MIN(E23/'Inputs'!$B$48,'Inputs'!$B$36)-'Inputs'!$B$35)*'Inputs'!$B$39+MAX(0,MIN(E23/'Inputs'!$B$48,'Inputs'!$B$37)-'Inputs'!$B$36)*'Inputs'!$B$40+MAX(0,E23/'Inputs'!$B$48-'Inputs'!$B$37)*'Inputs'!$B$41+E23/'Inputs'!$B$48*'Inputs'!$B$42))*'Inputs'!$B$48*(1+'Inputs'!$B$16)^(A23-1)</x:f>
        <x:v>150870.78409645904</x:v>
      </x:c>
      <x:c r="G23" s="16" t="n">
        <x:f>D23*'Inputs'!$B$18*(1+'Inputs'!$B$16)^(A23-1)</x:f>
        <x:v>0</x:v>
      </x:c>
      <x:c r="H23" s="16" t="n">
        <x:f>'O&amp;M'!$B$11*(1+'Inputs'!$B$27)^(A23-1)</x:f>
        <x:v>18941.868757053406</x:v>
      </x:c>
      <x:c r="I23" s="16" t="n">
        <x:f>'Fast Estimate'!$B$9*'Inputs'!$B$25*(1+'Inputs'!$B$27)^(A23-1)</x:f>
        <x:v>4362.943770374635</x:v>
      </x:c>
      <x:c r="J23" s="16" t="n">
        <x:f>'Inputs'!$B$26*(1+'Inputs'!$B$27)^(A23-1)</x:f>
        <x:v>0</x:v>
      </x:c>
      <x:c r="K23" s="16" t="n">
        <x:f>IF(A23='Inputs'!$B$28,'Fast Estimate'!$B$9*'Inputs'!$B$29*(1+'Inputs'!$B$27)^(A23-1),0)</x:f>
        <x:v>0</x:v>
      </x:c>
      <x:c r="L23" s="17" t="n">
        <x:f>SUM(F23:G23)-SUM(H23:J23)</x:f>
        <x:v>127565.97156903101</x:v>
      </x:c>
      <x:c r="M23" s="16" t="n">
        <x:f>IF(A23&lt;='Inputs'!$B$34,'Fast Estimate'!$B$9/'Inputs'!$B$34,0)</x:f>
        <x:v>25425.345</x:v>
      </x:c>
      <x:c r="N23" s="16" t="n">
        <x:f>MAX(0,L23-M23)*'Inputs'!$B$33</x:f>
        <x:v>0</x:v>
      </x:c>
      <x:c r="O23" s="16" t="n">
        <x:f>MAX(0,L23-M23-R23)*'Inputs'!$B$33</x:f>
        <x:v>0</x:v>
      </x:c>
      <x:c r="P23" s="16" t="n">
        <x:f>MAX(0,'Fast Estimate'!$B$11-(A23-1)*'Fast Estimate'!$B$11/'Inputs'!$B$32)</x:f>
        <x:v>0</x:v>
      </x:c>
      <x:c r="Q23" s="16" t="n">
        <x:f>IF(A23&lt;='Inputs'!$B$32,'Fast Estimate'!$B$11/'Inputs'!$B$32,0)</x:f>
        <x:v>0</x:v>
      </x:c>
      <x:c r="R23" s="16" t="n">
        <x:f>P23*'Inputs'!$B$31</x:f>
        <x:v>0</x:v>
      </x:c>
      <x:c r="S23" s="17" t="n">
        <x:f>MAX(0,P23-Q23)</x:f>
        <x:v>0</x:v>
      </x:c>
      <x:c r="T23" s="17" t="n">
        <x:f>L23-N23-K23</x:f>
        <x:v>127565.97156903101</x:v>
      </x:c>
      <x:c r="U23" s="17" t="n">
        <x:f>L23-O23-K23-Q23-R23</x:f>
        <x:v>127565.97156903101</x:v>
      </x:c>
      <x:c r="V23" s="16" t="n">
        <x:f>T23/(1+'Inputs'!$B$15)^A23</x:f>
        <x:v>34477.12137607302</x:v>
      </x:c>
      <x:c r="W23" s="17" t="n">
        <x:f>W22+T23</x:f>
        <x:v>1230188.2303625715</x:v>
      </x:c>
      <x:c r="X23" s="17" t="n">
        <x:f>X22+V23</x:f>
        <x:v>350593.1205866983</x:v>
      </x:c>
      <x:c r="Y23" s="17" t="n">
        <x:f>IF(T23=0,Y22,SIGN(T23))</x:f>
        <x:v>1</x:v>
      </x:c>
      <x:c r="Z23" s="17" t="n">
        <x:f>IF(AND(Y23&lt;&gt;0,Y22&lt;&gt;0,Y23&lt;&gt;Y22),1,0)</x:f>
        <x:v>0</x:v>
      </x:c>
      <x:c r="AA23" s="17" t="n">
        <x:f>IF(U23=0,AA22,SIGN(U23))</x:f>
        <x:v>1</x:v>
      </x:c>
      <x:c r="AB23" s="17" t="n">
        <x:f>IF(AND(AA23&lt;&gt;0,AA22&lt;&gt;0,AA23&lt;&gt;AA22),1,0)</x:f>
        <x:v>0</x:v>
      </x:c>
      <x:c r="AC23" s="20" t="n">
        <x:f>IF(AND(W22&lt;0,W23&gt;=0,T23&gt;0),A23-1-W22/T23,'Inputs'!$B$47+1)</x:f>
        <x:v>26</x:v>
      </x:c>
      <x:c r="AD23" s="20" t="n">
        <x:f>IF(AND(X22&lt;0,X23&gt;=0,V23&gt;0),A23-1-X22/V23,'Inputs'!$B$47+1)</x:f>
        <x:v>26</x:v>
      </x:c>
      <x:c r="AE23" s="16" t="n">
        <x:f>(SUM(H23:K23))/(1+'Inputs'!$B$15)^A23</x:f>
        <x:v>6298.567245419104</x:v>
      </x:c>
      <x:c r="AF23" s="16" t="n">
        <x:f>B23/(1+'Inputs'!$B$15)^A23</x:f>
        <x:v>113196.94999101016</x:v>
      </x:c>
    </x:row>
    <x:row r="24" ht="24" customHeight="1">
      <x:c r="A24" s="1" t="n">
        <x:v>18</x:v>
      </x:c>
      <x:c r="B24" s="16" t="n">
        <x:f>'Fast Estimate'!$B$5*'Inputs'!$B$10*(1-'Inputs'!$B$17)^(A24-1)</x:f>
        <x:v>416736.6049215526</x:v>
      </x:c>
      <x:c r="C24" s="16" t="n">
        <x:f>MIN('Inputs'!$B$6,B24*'Inputs'!$B$9)</x:f>
        <x:v>341724.0160356731</x:v>
      </x:c>
      <x:c r="D24" s="17" t="n">
        <x:f>B24-C24</x:f>
        <x:v>75012.5888858795</x:v>
      </x:c>
      <x:c r="E24" s="16" t="n">
        <x:f>'Inputs'!$B$6-C24</x:f>
        <x:v>212121.9839643269</x:v>
      </x:c>
      <x:c r="F24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24/'Inputs'!$B$48,'Inputs'!$B$35)*'Inputs'!$B$38+MAX(0,MIN(E24/'Inputs'!$B$48,'Inputs'!$B$36)-'Inputs'!$B$35)*'Inputs'!$B$39+MAX(0,MIN(E24/'Inputs'!$B$48,'Inputs'!$B$37)-'Inputs'!$B$36)*'Inputs'!$B$40+MAX(0,E24/'Inputs'!$B$48-'Inputs'!$B$37)*'Inputs'!$B$41+E24/'Inputs'!$B$48*'Inputs'!$B$42))*'Inputs'!$B$48*(1+'Inputs'!$B$16)^(A24-1)</x:f>
        <x:v>153118.75877949627</x:v>
      </x:c>
      <x:c r="G24" s="16" t="n">
        <x:f>D24*'Inputs'!$B$18*(1+'Inputs'!$B$16)^(A24-1)</x:f>
        <x:v>0</x:v>
      </x:c>
      <x:c r="H24" s="16" t="n">
        <x:f>'O&amp;M'!$B$11*(1+'Inputs'!$B$27)^(A24-1)</x:f>
        <x:v>19320.70613219448</x:v>
      </x:c>
      <x:c r="I24" s="16" t="n">
        <x:f>'Fast Estimate'!$B$9*'Inputs'!$B$25*(1+'Inputs'!$B$27)^(A24-1)</x:f>
        <x:v>4450.2026457821285</x:v>
      </x:c>
      <x:c r="J24" s="16" t="n">
        <x:f>'Inputs'!$B$26*(1+'Inputs'!$B$27)^(A24-1)</x:f>
        <x:v>0</x:v>
      </x:c>
      <x:c r="K24" s="16" t="n">
        <x:f>IF(A24='Inputs'!$B$28,'Fast Estimate'!$B$9*'Inputs'!$B$29*(1+'Inputs'!$B$27)^(A24-1),0)</x:f>
        <x:v>0</x:v>
      </x:c>
      <x:c r="L24" s="17" t="n">
        <x:f>SUM(F24:G24)-SUM(H24:J24)</x:f>
        <x:v>129347.85000151966</x:v>
      </x:c>
      <x:c r="M24" s="16" t="n">
        <x:f>IF(A24&lt;='Inputs'!$B$34,'Fast Estimate'!$B$9/'Inputs'!$B$34,0)</x:f>
        <x:v>25425.345</x:v>
      </x:c>
      <x:c r="N24" s="16" t="n">
        <x:f>MAX(0,L24-M24)*'Inputs'!$B$33</x:f>
        <x:v>0</x:v>
      </x:c>
      <x:c r="O24" s="16" t="n">
        <x:f>MAX(0,L24-M24-R24)*'Inputs'!$B$33</x:f>
        <x:v>0</x:v>
      </x:c>
      <x:c r="P24" s="16" t="n">
        <x:f>MAX(0,'Fast Estimate'!$B$11-(A24-1)*'Fast Estimate'!$B$11/'Inputs'!$B$32)</x:f>
        <x:v>0</x:v>
      </x:c>
      <x:c r="Q24" s="16" t="n">
        <x:f>IF(A24&lt;='Inputs'!$B$32,'Fast Estimate'!$B$11/'Inputs'!$B$32,0)</x:f>
        <x:v>0</x:v>
      </x:c>
      <x:c r="R24" s="16" t="n">
        <x:f>P24*'Inputs'!$B$31</x:f>
        <x:v>0</x:v>
      </x:c>
      <x:c r="S24" s="17" t="n">
        <x:f>MAX(0,P24-Q24)</x:f>
        <x:v>0</x:v>
      </x:c>
      <x:c r="T24" s="17" t="n">
        <x:f>L24-N24-K24</x:f>
        <x:v>129347.85000151966</x:v>
      </x:c>
      <x:c r="U24" s="17" t="n">
        <x:f>L24-O24-K24-Q24-R24</x:f>
        <x:v>129347.85000151966</x:v>
      </x:c>
      <x:c r="V24" s="16" t="n">
        <x:f>T24/(1+'Inputs'!$B$15)^A24</x:f>
        <x:v>32369.17388113413</x:v>
      </x:c>
      <x:c r="W24" s="17" t="n">
        <x:f>W23+T24</x:f>
        <x:v>1359536.0803640913</x:v>
      </x:c>
      <x:c r="X24" s="17" t="n">
        <x:f>X23+V24</x:f>
        <x:v>382962.2944678324</x:v>
      </x:c>
      <x:c r="Y24" s="17" t="n">
        <x:f>IF(T24=0,Y23,SIGN(T24))</x:f>
        <x:v>1</x:v>
      </x:c>
      <x:c r="Z24" s="17" t="n">
        <x:f>IF(AND(Y24&lt;&gt;0,Y23&lt;&gt;0,Y24&lt;&gt;Y23),1,0)</x:f>
        <x:v>0</x:v>
      </x:c>
      <x:c r="AA24" s="17" t="n">
        <x:f>IF(U24=0,AA23,SIGN(U24))</x:f>
        <x:v>1</x:v>
      </x:c>
      <x:c r="AB24" s="17" t="n">
        <x:f>IF(AND(AA24&lt;&gt;0,AA23&lt;&gt;0,AA24&lt;&gt;AA23),1,0)</x:f>
        <x:v>0</x:v>
      </x:c>
      <x:c r="AC24" s="20" t="n">
        <x:f>IF(AND(W23&lt;0,W24&gt;=0,T24&gt;0),A24-1-W23/T24,'Inputs'!$B$47+1)</x:f>
        <x:v>26</x:v>
      </x:c>
      <x:c r="AD24" s="20" t="n">
        <x:f>IF(AND(X23&lt;0,X24&gt;=0,V24&gt;0),A24-1-X23/V24,'Inputs'!$B$47+1)</x:f>
        <x:v>26</x:v>
      </x:c>
      <x:c r="AE24" s="16" t="n">
        <x:f>(SUM(H24:K24))/(1+'Inputs'!$B$15)^A24</x:f>
        <x:v>5948.646842895822</x:v>
      </x:c>
      <x:c r="AF24" s="16" t="n">
        <x:f>B24/(1+'Inputs'!$B$15)^A24</x:f>
        <x:v>104287.93077875473</x:v>
      </x:c>
    </x:row>
    <x:row r="25" ht="24" customHeight="1">
      <x:c r="A25" s="1" t="n">
        <x:v>19</x:v>
      </x:c>
      <x:c r="B25" s="16" t="n">
        <x:f>'Fast Estimate'!$B$5*'Inputs'!$B$10*(1-'Inputs'!$B$17)^(A25-1)</x:f>
        <x:v>414652.9218969448</x:v>
      </x:c>
      <x:c r="C25" s="16" t="n">
        <x:f>MIN('Inputs'!$B$6,B25*'Inputs'!$B$9)</x:f>
        <x:v>340015.3959554947</x:v>
      </x:c>
      <x:c r="D25" s="17" t="n">
        <x:f>B25-C25</x:f>
        <x:v>74637.52594145009</x:v>
      </x:c>
      <x:c r="E25" s="16" t="n">
        <x:f>'Inputs'!$B$6-C25</x:f>
        <x:v>213830.60404450528</x:v>
      </x:c>
      <x:c r="F25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25/'Inputs'!$B$48,'Inputs'!$B$35)*'Inputs'!$B$38+MAX(0,MIN(E25/'Inputs'!$B$48,'Inputs'!$B$36)-'Inputs'!$B$35)*'Inputs'!$B$39+MAX(0,MIN(E25/'Inputs'!$B$48,'Inputs'!$B$37)-'Inputs'!$B$36)*'Inputs'!$B$40+MAX(0,E25/'Inputs'!$B$48-'Inputs'!$B$37)*'Inputs'!$B$41+E25/'Inputs'!$B$48*'Inputs'!$B$42))*'Inputs'!$B$48*(1+'Inputs'!$B$16)^(A25-1)</x:f>
        <x:v>155400.2282853108</x:v>
      </x:c>
      <x:c r="G25" s="16" t="n">
        <x:f>D25*'Inputs'!$B$18*(1+'Inputs'!$B$16)^(A25-1)</x:f>
        <x:v>0</x:v>
      </x:c>
      <x:c r="H25" s="16" t="n">
        <x:f>'O&amp;M'!$B$11*(1+'Inputs'!$B$27)^(A25-1)</x:f>
        <x:v>19707.120254838366</x:v>
      </x:c>
      <x:c r="I25" s="16" t="n">
        <x:f>'Fast Estimate'!$B$9*'Inputs'!$B$25*(1+'Inputs'!$B$27)^(A25-1)</x:f>
        <x:v>4539.206698697771</x:v>
      </x:c>
      <x:c r="J25" s="16" t="n">
        <x:f>'Inputs'!$B$26*(1+'Inputs'!$B$27)^(A25-1)</x:f>
        <x:v>0</x:v>
      </x:c>
      <x:c r="K25" s="16" t="n">
        <x:f>IF(A25='Inputs'!$B$28,'Fast Estimate'!$B$9*'Inputs'!$B$29*(1+'Inputs'!$B$27)^(A25-1),0)</x:f>
        <x:v>0</x:v>
      </x:c>
      <x:c r="L25" s="17" t="n">
        <x:f>SUM(F25:G25)-SUM(H25:J25)</x:f>
        <x:v>131153.90133177466</x:v>
      </x:c>
      <x:c r="M25" s="16" t="n">
        <x:f>IF(A25&lt;='Inputs'!$B$34,'Fast Estimate'!$B$9/'Inputs'!$B$34,0)</x:f>
        <x:v>25425.345</x:v>
      </x:c>
      <x:c r="N25" s="16" t="n">
        <x:f>MAX(0,L25-M25)*'Inputs'!$B$33</x:f>
        <x:v>0</x:v>
      </x:c>
      <x:c r="O25" s="16" t="n">
        <x:f>MAX(0,L25-M25-R25)*'Inputs'!$B$33</x:f>
        <x:v>0</x:v>
      </x:c>
      <x:c r="P25" s="16" t="n">
        <x:f>MAX(0,'Fast Estimate'!$B$11-(A25-1)*'Fast Estimate'!$B$11/'Inputs'!$B$32)</x:f>
        <x:v>0</x:v>
      </x:c>
      <x:c r="Q25" s="16" t="n">
        <x:f>IF(A25&lt;='Inputs'!$B$32,'Fast Estimate'!$B$11/'Inputs'!$B$32,0)</x:f>
        <x:v>0</x:v>
      </x:c>
      <x:c r="R25" s="16" t="n">
        <x:f>P25*'Inputs'!$B$31</x:f>
        <x:v>0</x:v>
      </x:c>
      <x:c r="S25" s="17" t="n">
        <x:f>MAX(0,P25-Q25)</x:f>
        <x:v>0</x:v>
      </x:c>
      <x:c r="T25" s="17" t="n">
        <x:f>L25-N25-K25</x:f>
        <x:v>131153.90133177466</x:v>
      </x:c>
      <x:c r="U25" s="17" t="n">
        <x:f>L25-O25-K25-Q25-R25</x:f>
        <x:v>131153.90133177466</x:v>
      </x:c>
      <x:c r="V25" s="16" t="n">
        <x:f>T25/(1+'Inputs'!$B$15)^A25</x:f>
        <x:v>30389.94117876321</x:v>
      </x:c>
      <x:c r="W25" s="17" t="n">
        <x:f>W24+T25</x:f>
        <x:v>1490689.981695866</x:v>
      </x:c>
      <x:c r="X25" s="17" t="n">
        <x:f>X24+V25</x:f>
        <x:v>413352.23564659565</x:v>
      </x:c>
      <x:c r="Y25" s="17" t="n">
        <x:f>IF(T25=0,Y24,SIGN(T25))</x:f>
        <x:v>1</x:v>
      </x:c>
      <x:c r="Z25" s="17" t="n">
        <x:f>IF(AND(Y25&lt;&gt;0,Y24&lt;&gt;0,Y25&lt;&gt;Y24),1,0)</x:f>
        <x:v>0</x:v>
      </x:c>
      <x:c r="AA25" s="17" t="n">
        <x:f>IF(U25=0,AA24,SIGN(U25))</x:f>
        <x:v>1</x:v>
      </x:c>
      <x:c r="AB25" s="17" t="n">
        <x:f>IF(AND(AA25&lt;&gt;0,AA24&lt;&gt;0,AA25&lt;&gt;AA24),1,0)</x:f>
        <x:v>0</x:v>
      </x:c>
      <x:c r="AC25" s="20" t="n">
        <x:f>IF(AND(W24&lt;0,W25&gt;=0,T25&gt;0),A25-1-W24/T25,'Inputs'!$B$47+1)</x:f>
        <x:v>26</x:v>
      </x:c>
      <x:c r="AD25" s="20" t="n">
        <x:f>IF(AND(X24&lt;0,X25&gt;=0,V25&gt;0),A25-1-X24/V25,'Inputs'!$B$47+1)</x:f>
        <x:v>26</x:v>
      </x:c>
      <x:c r="AE25" s="16" t="n">
        <x:f>(SUM(H25:K25))/(1+'Inputs'!$B$15)^A25</x:f>
        <x:v>5618.166462734943</x:v>
      </x:c>
      <x:c r="AF25" s="16" t="n">
        <x:f>B25/(1+'Inputs'!$B$15)^A25</x:f>
        <x:v>96080.08437487125</x:v>
      </x:c>
    </x:row>
    <x:row r="26" ht="24" customHeight="1">
      <x:c r="A26" s="1" t="n">
        <x:v>20</x:v>
      </x:c>
      <x:c r="B26" s="16" t="n">
        <x:f>'Fast Estimate'!$B$5*'Inputs'!$B$10*(1-'Inputs'!$B$17)^(A26-1)</x:f>
        <x:v>412579.6572874601</x:v>
      </x:c>
      <x:c r="C26" s="16" t="n">
        <x:f>MIN('Inputs'!$B$6,B26*'Inputs'!$B$9)</x:f>
        <x:v>338315.3189757173</x:v>
      </x:c>
      <x:c r="D26" s="17" t="n">
        <x:f>B26-C26</x:f>
        <x:v>74264.33831174282</x:v>
      </x:c>
      <x:c r="E26" s="16" t="n">
        <x:f>'Inputs'!$B$6-C26</x:f>
        <x:v>215530.6810242827</x:v>
      </x:c>
      <x:c r="F26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26/'Inputs'!$B$48,'Inputs'!$B$35)*'Inputs'!$B$38+MAX(0,MIN(E26/'Inputs'!$B$48,'Inputs'!$B$36)-'Inputs'!$B$35)*'Inputs'!$B$39+MAX(0,MIN(E26/'Inputs'!$B$48,'Inputs'!$B$37)-'Inputs'!$B$36)*'Inputs'!$B$40+MAX(0,E26/'Inputs'!$B$48-'Inputs'!$B$37)*'Inputs'!$B$41+E26/'Inputs'!$B$48*'Inputs'!$B$42))*'Inputs'!$B$48*(1+'Inputs'!$B$16)^(A26-1)</x:f>
        <x:v>157715.69168676191</x:v>
      </x:c>
      <x:c r="G26" s="16" t="n">
        <x:f>D26*'Inputs'!$B$18*(1+'Inputs'!$B$16)^(A26-1)</x:f>
        <x:v>0</x:v>
      </x:c>
      <x:c r="H26" s="16" t="n">
        <x:f>'O&amp;M'!$B$11*(1+'Inputs'!$B$27)^(A26-1)</x:f>
        <x:v>20101.262659935135</x:v>
      </x:c>
      <x:c r="I26" s="16" t="n">
        <x:f>'Fast Estimate'!$B$9*'Inputs'!$B$25*(1+'Inputs'!$B$27)^(A26-1)</x:f>
        <x:v>4629.990832671726</x:v>
      </x:c>
      <x:c r="J26" s="16" t="n">
        <x:f>'Inputs'!$B$26*(1+'Inputs'!$B$27)^(A26-1)</x:f>
        <x:v>0</x:v>
      </x:c>
      <x:c r="K26" s="16" t="n">
        <x:f>IF(A26='Inputs'!$B$28,'Fast Estimate'!$B$9*'Inputs'!$B$29*(1+'Inputs'!$B$27)^(A26-1),0)</x:f>
        <x:v>0</x:v>
      </x:c>
      <x:c r="L26" s="17" t="n">
        <x:f>SUM(F26:G26)-SUM(H26:J26)</x:f>
        <x:v>132984.43819415505</x:v>
      </x:c>
      <x:c r="M26" s="16" t="n">
        <x:f>IF(A26&lt;='Inputs'!$B$34,'Fast Estimate'!$B$9/'Inputs'!$B$34,0)</x:f>
        <x:v>25425.345</x:v>
      </x:c>
      <x:c r="N26" s="16" t="n">
        <x:f>MAX(0,L26-M26)*'Inputs'!$B$33</x:f>
        <x:v>0</x:v>
      </x:c>
      <x:c r="O26" s="16" t="n">
        <x:f>MAX(0,L26-M26-R26)*'Inputs'!$B$33</x:f>
        <x:v>0</x:v>
      </x:c>
      <x:c r="P26" s="16" t="n">
        <x:f>MAX(0,'Fast Estimate'!$B$11-(A26-1)*'Fast Estimate'!$B$11/'Inputs'!$B$32)</x:f>
        <x:v>0</x:v>
      </x:c>
      <x:c r="Q26" s="16" t="n">
        <x:f>IF(A26&lt;='Inputs'!$B$32,'Fast Estimate'!$B$11/'Inputs'!$B$32,0)</x:f>
        <x:v>0</x:v>
      </x:c>
      <x:c r="R26" s="16" t="n">
        <x:f>P26*'Inputs'!$B$31</x:f>
        <x:v>0</x:v>
      </x:c>
      <x:c r="S26" s="17" t="n">
        <x:f>MAX(0,P26-Q26)</x:f>
        <x:v>0</x:v>
      </x:c>
      <x:c r="T26" s="17" t="n">
        <x:f>L26-N26-K26</x:f>
        <x:v>132984.43819415505</x:v>
      </x:c>
      <x:c r="U26" s="17" t="n">
        <x:f>L26-O26-K26-Q26-R26</x:f>
        <x:v>132984.43819415505</x:v>
      </x:c>
      <x:c r="V26" s="16" t="n">
        <x:f>T26/(1+'Inputs'!$B$15)^A26</x:f>
        <x:v>28531.572827191507</x:v>
      </x:c>
      <x:c r="W26" s="17" t="n">
        <x:f>W25+T26</x:f>
        <x:v>1623674.419890021</x:v>
      </x:c>
      <x:c r="X26" s="17" t="n">
        <x:f>X25+V26</x:f>
        <x:v>441883.80847378715</x:v>
      </x:c>
      <x:c r="Y26" s="17" t="n">
        <x:f>IF(T26=0,Y25,SIGN(T26))</x:f>
        <x:v>1</x:v>
      </x:c>
      <x:c r="Z26" s="17" t="n">
        <x:f>IF(AND(Y26&lt;&gt;0,Y25&lt;&gt;0,Y26&lt;&gt;Y25),1,0)</x:f>
        <x:v>0</x:v>
      </x:c>
      <x:c r="AA26" s="17" t="n">
        <x:f>IF(U26=0,AA25,SIGN(U26))</x:f>
        <x:v>1</x:v>
      </x:c>
      <x:c r="AB26" s="17" t="n">
        <x:f>IF(AND(AA26&lt;&gt;0,AA25&lt;&gt;0,AA26&lt;&gt;AA25),1,0)</x:f>
        <x:v>0</x:v>
      </x:c>
      <x:c r="AC26" s="20" t="n">
        <x:f>IF(AND(W25&lt;0,W26&gt;=0,T26&gt;0),A26-1-W25/T26,'Inputs'!$B$47+1)</x:f>
        <x:v>26</x:v>
      </x:c>
      <x:c r="AD26" s="20" t="n">
        <x:f>IF(AND(X25&lt;0,X26&gt;=0,V26&gt;0),A26-1-X25/V26,'Inputs'!$B$47+1)</x:f>
        <x:v>26</x:v>
      </x:c>
      <x:c r="AE26" s="16" t="n">
        <x:f>(SUM(H26:K26))/(1+'Inputs'!$B$15)^A26</x:f>
        <x:v>5306.046103694112</x:v>
      </x:c>
      <x:c r="AF26" s="16" t="n">
        <x:f>B26/(1+'Inputs'!$B$15)^A26</x:f>
        <x:v>88518.22588240453</x:v>
      </x:c>
    </x:row>
    <x:row r="27" ht="24" customHeight="1">
      <x:c r="A27" s="1" t="n">
        <x:v>21</x:v>
      </x:c>
      <x:c r="B27" s="16" t="n">
        <x:f>'Fast Estimate'!$B$5*'Inputs'!$B$10*(1-'Inputs'!$B$17)^(A27-1)</x:f>
        <x:v>410516.7590010228</x:v>
      </x:c>
      <x:c r="C27" s="16" t="n">
        <x:f>MIN('Inputs'!$B$6,B27*'Inputs'!$B$9)</x:f>
        <x:v>336623.74238083867</x:v>
      </x:c>
      <x:c r="D27" s="17" t="n">
        <x:f>B27-C27</x:f>
        <x:v>73893.01662018412</x:v>
      </x:c>
      <x:c r="E27" s="16" t="n">
        <x:f>'Inputs'!$B$6-C27</x:f>
        <x:v>217222.25761916133</x:v>
      </x:c>
      <x:c r="F27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27/'Inputs'!$B$48,'Inputs'!$B$35)*'Inputs'!$B$38+MAX(0,MIN(E27/'Inputs'!$B$48,'Inputs'!$B$36)-'Inputs'!$B$35)*'Inputs'!$B$39+MAX(0,MIN(E27/'Inputs'!$B$48,'Inputs'!$B$37)-'Inputs'!$B$36)*'Inputs'!$B$40+MAX(0,E27/'Inputs'!$B$48-'Inputs'!$B$37)*'Inputs'!$B$41+E27/'Inputs'!$B$48*'Inputs'!$B$42))*'Inputs'!$B$48*(1+'Inputs'!$B$16)^(A27-1)</x:f>
        <x:v>160065.65549289464</x:v>
      </x:c>
      <x:c r="G27" s="16" t="n">
        <x:f>D27*'Inputs'!$B$18*(1+'Inputs'!$B$16)^(A27-1)</x:f>
        <x:v>0</x:v>
      </x:c>
      <x:c r="H27" s="16" t="n">
        <x:f>'O&amp;M'!$B$11*(1+'Inputs'!$B$27)^(A27-1)</x:f>
        <x:v>20503.287913133838</x:v>
      </x:c>
      <x:c r="I27" s="16" t="n">
        <x:f>'Fast Estimate'!$B$9*'Inputs'!$B$25*(1+'Inputs'!$B$27)^(A27-1)</x:f>
        <x:v>4722.590649325161</x:v>
      </x:c>
      <x:c r="J27" s="16" t="n">
        <x:f>'Inputs'!$B$26*(1+'Inputs'!$B$27)^(A27-1)</x:f>
        <x:v>0</x:v>
      </x:c>
      <x:c r="K27" s="16" t="n">
        <x:f>IF(A27='Inputs'!$B$28,'Fast Estimate'!$B$9*'Inputs'!$B$29*(1+'Inputs'!$B$27)^(A27-1),0)</x:f>
        <x:v>0</x:v>
      </x:c>
      <x:c r="L27" s="17" t="n">
        <x:f>SUM(F27:G27)-SUM(H27:J27)</x:f>
        <x:v>134839.77693043565</x:v>
      </x:c>
      <x:c r="M27" s="16" t="n">
        <x:f>IF(A27&lt;='Inputs'!$B$34,'Fast Estimate'!$B$9/'Inputs'!$B$34,0)</x:f>
        <x:v>25425.345</x:v>
      </x:c>
      <x:c r="N27" s="16" t="n">
        <x:f>MAX(0,L27-M27)*'Inputs'!$B$33</x:f>
        <x:v>0</x:v>
      </x:c>
      <x:c r="O27" s="16" t="n">
        <x:f>MAX(0,L27-M27-R27)*'Inputs'!$B$33</x:f>
        <x:v>0</x:v>
      </x:c>
      <x:c r="P27" s="16" t="n">
        <x:f>MAX(0,'Fast Estimate'!$B$11-(A27-1)*'Fast Estimate'!$B$11/'Inputs'!$B$32)</x:f>
        <x:v>0</x:v>
      </x:c>
      <x:c r="Q27" s="16" t="n">
        <x:f>IF(A27&lt;='Inputs'!$B$32,'Fast Estimate'!$B$11/'Inputs'!$B$32,0)</x:f>
        <x:v>0</x:v>
      </x:c>
      <x:c r="R27" s="16" t="n">
        <x:f>P27*'Inputs'!$B$31</x:f>
        <x:v>0</x:v>
      </x:c>
      <x:c r="S27" s="17" t="n">
        <x:f>MAX(0,P27-Q27)</x:f>
        <x:v>0</x:v>
      </x:c>
      <x:c r="T27" s="17" t="n">
        <x:f>L27-N27-K27</x:f>
        <x:v>134839.77693043565</x:v>
      </x:c>
      <x:c r="U27" s="17" t="n">
        <x:f>L27-O27-K27-Q27-R27</x:f>
        <x:v>134839.77693043565</x:v>
      </x:c>
      <x:c r="V27" s="16" t="n">
        <x:f>T27/(1+'Inputs'!$B$15)^A27</x:f>
        <x:v>26786.69669184057</x:v>
      </x:c>
      <x:c r="W27" s="17" t="n">
        <x:f>W26+T27</x:f>
        <x:v>1758514.1968204565</x:v>
      </x:c>
      <x:c r="X27" s="17" t="n">
        <x:f>X26+V27</x:f>
        <x:v>468670.50516562775</x:v>
      </x:c>
      <x:c r="Y27" s="17" t="n">
        <x:f>IF(T27=0,Y26,SIGN(T27))</x:f>
        <x:v>1</x:v>
      </x:c>
      <x:c r="Z27" s="17" t="n">
        <x:f>IF(AND(Y27&lt;&gt;0,Y26&lt;&gt;0,Y27&lt;&gt;Y26),1,0)</x:f>
        <x:v>0</x:v>
      </x:c>
      <x:c r="AA27" s="17" t="n">
        <x:f>IF(U27=0,AA26,SIGN(U27))</x:f>
        <x:v>1</x:v>
      </x:c>
      <x:c r="AB27" s="17" t="n">
        <x:f>IF(AND(AA27&lt;&gt;0,AA26&lt;&gt;0,AA27&lt;&gt;AA26),1,0)</x:f>
        <x:v>0</x:v>
      </x:c>
      <x:c r="AC27" s="20" t="n">
        <x:f>IF(AND(W26&lt;0,W27&gt;=0,T27&gt;0),A27-1-W26/T27,'Inputs'!$B$47+1)</x:f>
        <x:v>26</x:v>
      </x:c>
      <x:c r="AD27" s="20" t="n">
        <x:f>IF(AND(X26&lt;0,X27&gt;=0,V27&gt;0),A27-1-X26/V27,'Inputs'!$B$47+1)</x:f>
        <x:v>26</x:v>
      </x:c>
      <x:c r="AE27" s="16" t="n">
        <x:f>(SUM(H27:K27))/(1+'Inputs'!$B$15)^A27</x:f>
        <x:v>5011.265764599995</x:v>
      </x:c>
      <x:c r="AF27" s="16" t="n">
        <x:f>B27/(1+'Inputs'!$B$15)^A27</x:f>
        <x:v>81551.51366017824</x:v>
      </x:c>
    </x:row>
    <x:row r="28" ht="24" customHeight="1">
      <x:c r="A28" s="1" t="n">
        <x:v>22</x:v>
      </x:c>
      <x:c r="B28" s="16" t="n">
        <x:f>'Fast Estimate'!$B$5*'Inputs'!$B$10*(1-'Inputs'!$B$17)^(A28-1)</x:f>
        <x:v>408464.1752060177</x:v>
      </x:c>
      <x:c r="C28" s="16" t="n">
        <x:f>MIN('Inputs'!$B$6,B28*'Inputs'!$B$9)</x:f>
        <x:v>334940.62366893445</x:v>
      </x:c>
      <x:c r="D28" s="17" t="n">
        <x:f>B28-C28</x:f>
        <x:v>73523.55153708323</x:v>
      </x:c>
      <x:c r="E28" s="16" t="n">
        <x:f>'Inputs'!$B$6-C28</x:f>
        <x:v>218905.37633106555</x:v>
      </x:c>
      <x:c r="F28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28/'Inputs'!$B$48,'Inputs'!$B$35)*'Inputs'!$B$38+MAX(0,MIN(E28/'Inputs'!$B$48,'Inputs'!$B$36)-'Inputs'!$B$35)*'Inputs'!$B$39+MAX(0,MIN(E28/'Inputs'!$B$48,'Inputs'!$B$37)-'Inputs'!$B$36)*'Inputs'!$B$40+MAX(0,E28/'Inputs'!$B$48-'Inputs'!$B$37)*'Inputs'!$B$41+E28/'Inputs'!$B$48*'Inputs'!$B$42))*'Inputs'!$B$48*(1+'Inputs'!$B$16)^(A28-1)</x:f>
        <x:v>162450.6337597388</x:v>
      </x:c>
      <x:c r="G28" s="16" t="n">
        <x:f>D28*'Inputs'!$B$18*(1+'Inputs'!$B$16)^(A28-1)</x:f>
        <x:v>0</x:v>
      </x:c>
      <x:c r="H28" s="16" t="n">
        <x:f>'O&amp;M'!$B$11*(1+'Inputs'!$B$27)^(A28-1)</x:f>
        <x:v>20913.353671396515</x:v>
      </x:c>
      <x:c r="I28" s="16" t="n">
        <x:f>'Fast Estimate'!$B$9*'Inputs'!$B$25*(1+'Inputs'!$B$27)^(A28-1)</x:f>
        <x:v>4817.042462311664</x:v>
      </x:c>
      <x:c r="J28" s="16" t="n">
        <x:f>'Inputs'!$B$26*(1+'Inputs'!$B$27)^(A28-1)</x:f>
        <x:v>0</x:v>
      </x:c>
      <x:c r="K28" s="16" t="n">
        <x:f>IF(A28='Inputs'!$B$28,'Fast Estimate'!$B$9*'Inputs'!$B$29*(1+'Inputs'!$B$27)^(A28-1),0)</x:f>
        <x:v>0</x:v>
      </x:c>
      <x:c r="L28" s="17" t="n">
        <x:f>SUM(F28:G28)-SUM(H28:J28)</x:f>
        <x:v>136720.2376260306</x:v>
      </x:c>
      <x:c r="M28" s="16" t="n">
        <x:f>IF(A28&lt;='Inputs'!$B$34,'Fast Estimate'!$B$9/'Inputs'!$B$34,0)</x:f>
        <x:v>25425.345</x:v>
      </x:c>
      <x:c r="N28" s="16" t="n">
        <x:f>MAX(0,L28-M28)*'Inputs'!$B$33</x:f>
        <x:v>0</x:v>
      </x:c>
      <x:c r="O28" s="16" t="n">
        <x:f>MAX(0,L28-M28-R28)*'Inputs'!$B$33</x:f>
        <x:v>0</x:v>
      </x:c>
      <x:c r="P28" s="16" t="n">
        <x:f>MAX(0,'Fast Estimate'!$B$11-(A28-1)*'Fast Estimate'!$B$11/'Inputs'!$B$32)</x:f>
        <x:v>0</x:v>
      </x:c>
      <x:c r="Q28" s="16" t="n">
        <x:f>IF(A28&lt;='Inputs'!$B$32,'Fast Estimate'!$B$11/'Inputs'!$B$32,0)</x:f>
        <x:v>0</x:v>
      </x:c>
      <x:c r="R28" s="16" t="n">
        <x:f>P28*'Inputs'!$B$31</x:f>
        <x:v>0</x:v>
      </x:c>
      <x:c r="S28" s="17" t="n">
        <x:f>MAX(0,P28-Q28)</x:f>
        <x:v>0</x:v>
      </x:c>
      <x:c r="T28" s="17" t="n">
        <x:f>L28-N28-K28</x:f>
        <x:v>136720.2376260306</x:v>
      </x:c>
      <x:c r="U28" s="17" t="n">
        <x:f>L28-O28-K28-Q28-R28</x:f>
        <x:v>136720.2376260306</x:v>
      </x:c>
      <x:c r="V28" s="16" t="n">
        <x:f>T28/(1+'Inputs'!$B$15)^A28</x:f>
        <x:v>25148.38983069401</x:v>
      </x:c>
      <x:c r="W28" s="17" t="n">
        <x:f>W27+T28</x:f>
        <x:v>1895234.434446487</x:v>
      </x:c>
      <x:c r="X28" s="17" t="n">
        <x:f>X27+V28</x:f>
        <x:v>493818.89499632176</x:v>
      </x:c>
      <x:c r="Y28" s="17" t="n">
        <x:f>IF(T28=0,Y27,SIGN(T28))</x:f>
        <x:v>1</x:v>
      </x:c>
      <x:c r="Z28" s="17" t="n">
        <x:f>IF(AND(Y28&lt;&gt;0,Y27&lt;&gt;0,Y28&lt;&gt;Y27),1,0)</x:f>
        <x:v>0</x:v>
      </x:c>
      <x:c r="AA28" s="17" t="n">
        <x:f>IF(U28=0,AA27,SIGN(U28))</x:f>
        <x:v>1</x:v>
      </x:c>
      <x:c r="AB28" s="17" t="n">
        <x:f>IF(AND(AA28&lt;&gt;0,AA27&lt;&gt;0,AA28&lt;&gt;AA27),1,0)</x:f>
        <x:v>0</x:v>
      </x:c>
      <x:c r="AC28" s="20" t="n">
        <x:f>IF(AND(W27&lt;0,W28&gt;=0,T28&gt;0),A28-1-W27/T28,'Inputs'!$B$47+1)</x:f>
        <x:v>26</x:v>
      </x:c>
      <x:c r="AD28" s="20" t="n">
        <x:f>IF(AND(X27&lt;0,X28&gt;=0,V28&gt;0),A28-1-X27/V28,'Inputs'!$B$47+1)</x:f>
        <x:v>26</x:v>
      </x:c>
      <x:c r="AE28" s="16" t="n">
        <x:f>(SUM(H28:K28))/(1+'Inputs'!$B$15)^A28</x:f>
        <x:v>4732.862111011106</x:v>
      </x:c>
      <x:c r="AF28" s="16" t="n">
        <x:f>B28/(1+'Inputs'!$B$15)^A28</x:f>
        <x:v>75133.10749247902</x:v>
      </x:c>
    </x:row>
    <x:row r="29" ht="24" customHeight="1">
      <x:c r="A29" s="1" t="n">
        <x:v>23</x:v>
      </x:c>
      <x:c r="B29" s="16" t="n">
        <x:f>'Fast Estimate'!$B$5*'Inputs'!$B$10*(1-'Inputs'!$B$17)^(A29-1)</x:f>
        <x:v>406421.8543299876</x:v>
      </x:c>
      <x:c r="C29" s="16" t="n">
        <x:f>MIN('Inputs'!$B$6,B29*'Inputs'!$B$9)</x:f>
        <x:v>333265.9205505898</x:v>
      </x:c>
      <x:c r="D29" s="17" t="n">
        <x:f>B29-C29</x:f>
        <x:v>73155.9337793978</x:v>
      </x:c>
      <x:c r="E29" s="16" t="n">
        <x:f>'Inputs'!$B$6-C29</x:f>
        <x:v>220580.0794494102</x:v>
      </x:c>
      <x:c r="F29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29/'Inputs'!$B$48,'Inputs'!$B$35)*'Inputs'!$B$38+MAX(0,MIN(E29/'Inputs'!$B$48,'Inputs'!$B$36)-'Inputs'!$B$35)*'Inputs'!$B$39+MAX(0,MIN(E29/'Inputs'!$B$48,'Inputs'!$B$37)-'Inputs'!$B$36)*'Inputs'!$B$40+MAX(0,E29/'Inputs'!$B$48-'Inputs'!$B$37)*'Inputs'!$B$41+E29/'Inputs'!$B$48*'Inputs'!$B$42))*'Inputs'!$B$48*(1+'Inputs'!$B$16)^(A29-1)</x:f>
        <x:v>164871.1482027589</x:v>
      </x:c>
      <x:c r="G29" s="16" t="n">
        <x:f>D29*'Inputs'!$B$18*(1+'Inputs'!$B$16)^(A29-1)</x:f>
        <x:v>0</x:v>
      </x:c>
      <x:c r="H29" s="16" t="n">
        <x:f>'O&amp;M'!$B$11*(1+'Inputs'!$B$27)^(A29-1)</x:f>
        <x:v>21331.620744824446</x:v>
      </x:c>
      <x:c r="I29" s="16" t="n">
        <x:f>'Fast Estimate'!$B$9*'Inputs'!$B$25*(1+'Inputs'!$B$27)^(A29-1)</x:f>
        <x:v>4913.383311557897</x:v>
      </x:c>
      <x:c r="J29" s="16" t="n">
        <x:f>'Inputs'!$B$26*(1+'Inputs'!$B$27)^(A29-1)</x:f>
        <x:v>0</x:v>
      </x:c>
      <x:c r="K29" s="16" t="n">
        <x:f>IF(A29='Inputs'!$B$28,'Fast Estimate'!$B$9*'Inputs'!$B$29*(1+'Inputs'!$B$27)^(A29-1),0)</x:f>
        <x:v>0</x:v>
      </x:c>
      <x:c r="L29" s="17" t="n">
        <x:f>SUM(F29:G29)-SUM(H29:J29)</x:f>
        <x:v>138626.14414637655</x:v>
      </x:c>
      <x:c r="M29" s="16" t="n">
        <x:f>IF(A29&lt;='Inputs'!$B$34,'Fast Estimate'!$B$9/'Inputs'!$B$34,0)</x:f>
        <x:v>25425.345</x:v>
      </x:c>
      <x:c r="N29" s="16" t="n">
        <x:f>MAX(0,L29-M29)*'Inputs'!$B$33</x:f>
        <x:v>0</x:v>
      </x:c>
      <x:c r="O29" s="16" t="n">
        <x:f>MAX(0,L29-M29-R29)*'Inputs'!$B$33</x:f>
        <x:v>0</x:v>
      </x:c>
      <x:c r="P29" s="16" t="n">
        <x:f>MAX(0,'Fast Estimate'!$B$11-(A29-1)*'Fast Estimate'!$B$11/'Inputs'!$B$32)</x:f>
        <x:v>0</x:v>
      </x:c>
      <x:c r="Q29" s="16" t="n">
        <x:f>IF(A29&lt;='Inputs'!$B$32,'Fast Estimate'!$B$11/'Inputs'!$B$32,0)</x:f>
        <x:v>0</x:v>
      </x:c>
      <x:c r="R29" s="16" t="n">
        <x:f>P29*'Inputs'!$B$31</x:f>
        <x:v>0</x:v>
      </x:c>
      <x:c r="S29" s="17" t="n">
        <x:f>MAX(0,P29-Q29)</x:f>
        <x:v>0</x:v>
      </x:c>
      <x:c r="T29" s="17" t="n">
        <x:f>L29-N29-K29</x:f>
        <x:v>138626.14414637655</x:v>
      </x:c>
      <x:c r="U29" s="17" t="n">
        <x:f>L29-O29-K29-Q29-R29</x:f>
        <x:v>138626.14414637655</x:v>
      </x:c>
      <x:c r="V29" s="16" t="n">
        <x:f>T29/(1+'Inputs'!$B$15)^A29</x:f>
        <x:v>23610.151150375183</x:v>
      </x:c>
      <x:c r="W29" s="17" t="n">
        <x:f>W28+T29</x:f>
        <x:v>2033860.5785928636</x:v>
      </x:c>
      <x:c r="X29" s="17" t="n">
        <x:f>X28+V29</x:f>
        <x:v>517429.04614669696</x:v>
      </x:c>
      <x:c r="Y29" s="17" t="n">
        <x:f>IF(T29=0,Y28,SIGN(T29))</x:f>
        <x:v>1</x:v>
      </x:c>
      <x:c r="Z29" s="17" t="n">
        <x:f>IF(AND(Y29&lt;&gt;0,Y28&lt;&gt;0,Y29&lt;&gt;Y28),1,0)</x:f>
        <x:v>0</x:v>
      </x:c>
      <x:c r="AA29" s="17" t="n">
        <x:f>IF(U29=0,AA28,SIGN(U29))</x:f>
        <x:v>1</x:v>
      </x:c>
      <x:c r="AB29" s="17" t="n">
        <x:f>IF(AND(AA29&lt;&gt;0,AA28&lt;&gt;0,AA29&lt;&gt;AA28),1,0)</x:f>
        <x:v>0</x:v>
      </x:c>
      <x:c r="AC29" s="20" t="n">
        <x:f>IF(AND(W28&lt;0,W29&gt;=0,T29&gt;0),A29-1-W28/T29,'Inputs'!$B$47+1)</x:f>
        <x:v>26</x:v>
      </x:c>
      <x:c r="AD29" s="20" t="n">
        <x:f>IF(AND(X28&lt;0,X29&gt;=0,V29&gt;0),A29-1-X28/V29,'Inputs'!$B$47+1)</x:f>
        <x:v>26</x:v>
      </x:c>
      <x:c r="AE29" s="16" t="n">
        <x:f>(SUM(H29:K29))/(1+'Inputs'!$B$15)^A29</x:f>
        <x:v>4469.925327066045</x:v>
      </x:c>
      <x:c r="AF29" s="16" t="n">
        <x:f>B29/(1+'Inputs'!$B$15)^A29</x:f>
        <x:v>69219.85366205242</x:v>
      </x:c>
    </x:row>
    <x:row r="30" ht="24" customHeight="1">
      <x:c r="A30" s="1" t="n">
        <x:v>24</x:v>
      </x:c>
      <x:c r="B30" s="16" t="n">
        <x:f>'Fast Estimate'!$B$5*'Inputs'!$B$10*(1-'Inputs'!$B$17)^(A30-1)</x:f>
        <x:v>404389.7450583377</x:v>
      </x:c>
      <x:c r="C30" s="16" t="n">
        <x:f>MIN('Inputs'!$B$6,B30*'Inputs'!$B$9)</x:f>
        <x:v>331599.59094783687</x:v>
      </x:c>
      <x:c r="D30" s="17" t="n">
        <x:f>B30-C30</x:f>
        <x:v>72790.15411050082</x:v>
      </x:c>
      <x:c r="E30" s="16" t="n">
        <x:f>'Inputs'!$B$6-C30</x:f>
        <x:v>222246.40905216313</x:v>
      </x:c>
      <x:c r="F30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30/'Inputs'!$B$48,'Inputs'!$B$35)*'Inputs'!$B$38+MAX(0,MIN(E30/'Inputs'!$B$48,'Inputs'!$B$36)-'Inputs'!$B$35)*'Inputs'!$B$39+MAX(0,MIN(E30/'Inputs'!$B$48,'Inputs'!$B$37)-'Inputs'!$B$36)*'Inputs'!$B$40+MAX(0,E30/'Inputs'!$B$48-'Inputs'!$B$37)*'Inputs'!$B$41+E30/'Inputs'!$B$48*'Inputs'!$B$42))*'Inputs'!$B$48*(1+'Inputs'!$B$16)^(A30-1)</x:f>
        <x:v>167327.72831098005</x:v>
      </x:c>
      <x:c r="G30" s="16" t="n">
        <x:f>D30*'Inputs'!$B$18*(1+'Inputs'!$B$16)^(A30-1)</x:f>
        <x:v>0</x:v>
      </x:c>
      <x:c r="H30" s="16" t="n">
        <x:f>'O&amp;M'!$B$11*(1+'Inputs'!$B$27)^(A30-1)</x:f>
        <x:v>21758.253159720934</x:v>
      </x:c>
      <x:c r="I30" s="16" t="n">
        <x:f>'Fast Estimate'!$B$9*'Inputs'!$B$25*(1+'Inputs'!$B$27)^(A30-1)</x:f>
        <x:v>5011.650977789056</x:v>
      </x:c>
      <x:c r="J30" s="16" t="n">
        <x:f>'Inputs'!$B$26*(1+'Inputs'!$B$27)^(A30-1)</x:f>
        <x:v>0</x:v>
      </x:c>
      <x:c r="K30" s="16" t="n">
        <x:f>IF(A30='Inputs'!$B$28,'Fast Estimate'!$B$9*'Inputs'!$B$29*(1+'Inputs'!$B$27)^(A30-1),0)</x:f>
        <x:v>0</x:v>
      </x:c>
      <x:c r="L30" s="17" t="n">
        <x:f>SUM(F30:G30)-SUM(H30:J30)</x:f>
        <x:v>140557.82417347006</x:v>
      </x:c>
      <x:c r="M30" s="16" t="n">
        <x:f>IF(A30&lt;='Inputs'!$B$34,'Fast Estimate'!$B$9/'Inputs'!$B$34,0)</x:f>
        <x:v>25425.345</x:v>
      </x:c>
      <x:c r="N30" s="16" t="n">
        <x:f>MAX(0,L30-M30)*'Inputs'!$B$33</x:f>
        <x:v>0</x:v>
      </x:c>
      <x:c r="O30" s="16" t="n">
        <x:f>MAX(0,L30-M30-R30)*'Inputs'!$B$33</x:f>
        <x:v>0</x:v>
      </x:c>
      <x:c r="P30" s="16" t="n">
        <x:f>MAX(0,'Fast Estimate'!$B$11-(A30-1)*'Fast Estimate'!$B$11/'Inputs'!$B$32)</x:f>
        <x:v>0</x:v>
      </x:c>
      <x:c r="Q30" s="16" t="n">
        <x:f>IF(A30&lt;='Inputs'!$B$32,'Fast Estimate'!$B$11/'Inputs'!$B$32,0)</x:f>
        <x:v>0</x:v>
      </x:c>
      <x:c r="R30" s="16" t="n">
        <x:f>P30*'Inputs'!$B$31</x:f>
        <x:v>0</x:v>
      </x:c>
      <x:c r="S30" s="17" t="n">
        <x:f>MAX(0,P30-Q30)</x:f>
        <x:v>0</x:v>
      </x:c>
      <x:c r="T30" s="17" t="n">
        <x:f>L30-N30-K30</x:f>
        <x:v>140557.82417347006</x:v>
      </x:c>
      <x:c r="U30" s="17" t="n">
        <x:f>L30-O30-K30-Q30-R30</x:f>
        <x:v>140557.82417347006</x:v>
      </x:c>
      <x:c r="V30" s="16" t="n">
        <x:f>T30/(1+'Inputs'!$B$15)^A30</x:f>
        <x:v>22165.87572532198</x:v>
      </x:c>
      <x:c r="W30" s="17" t="n">
        <x:f>W29+T30</x:f>
        <x:v>2174418.402766334</x:v>
      </x:c>
      <x:c r="X30" s="17" t="n">
        <x:f>X29+V30</x:f>
        <x:v>539594.921872019</x:v>
      </x:c>
      <x:c r="Y30" s="17" t="n">
        <x:f>IF(T30=0,Y29,SIGN(T30))</x:f>
        <x:v>1</x:v>
      </x:c>
      <x:c r="Z30" s="17" t="n">
        <x:f>IF(AND(Y30&lt;&gt;0,Y29&lt;&gt;0,Y30&lt;&gt;Y29),1,0)</x:f>
        <x:v>0</x:v>
      </x:c>
      <x:c r="AA30" s="17" t="n">
        <x:f>IF(U30=0,AA29,SIGN(U30))</x:f>
        <x:v>1</x:v>
      </x:c>
      <x:c r="AB30" s="17" t="n">
        <x:f>IF(AND(AA30&lt;&gt;0,AA29&lt;&gt;0,AA30&lt;&gt;AA29),1,0)</x:f>
        <x:v>0</x:v>
      </x:c>
      <x:c r="AC30" s="20" t="n">
        <x:f>IF(AND(W29&lt;0,W30&gt;=0,T30&gt;0),A30-1-W29/T30,'Inputs'!$B$47+1)</x:f>
        <x:v>26</x:v>
      </x:c>
      <x:c r="AD30" s="20" t="n">
        <x:f>IF(AND(X29&lt;0,X30&gt;=0,V30&gt;0),A30-1-X29/V30,'Inputs'!$B$47+1)</x:f>
        <x:v>26</x:v>
      </x:c>
      <x:c r="AE30" s="16" t="n">
        <x:f>(SUM(H30:K30))/(1+'Inputs'!$B$15)^A30</x:f>
        <x:v>4221.596142229042</x:v>
      </x:c>
      <x:c r="AF30" s="16" t="n">
        <x:f>B30/(1+'Inputs'!$B$15)^A30</x:f>
        <x:v>63771.99480902052</x:v>
      </x:c>
    </x:row>
    <x:row r="31" ht="24" customHeight="1">
      <x:c r="A31" s="1" t="n">
        <x:v>25</x:v>
      </x:c>
      <x:c r="B31" s="16" t="n">
        <x:f>'Fast Estimate'!$B$5*'Inputs'!$B$10*(1-'Inputs'!$B$17)^(A31-1)</x:f>
        <x:v>402367.796333046</x:v>
      </x:c>
      <x:c r="C31" s="16" t="n">
        <x:f>MIN('Inputs'!$B$6,B31*'Inputs'!$B$9)</x:f>
        <x:v>329941.59299309767</x:v>
      </x:c>
      <x:c r="D31" s="17" t="n">
        <x:f>B31-C31</x:f>
        <x:v>72426.20333994832</x:v>
      </x:c>
      <x:c r="E31" s="16" t="n">
        <x:f>'Inputs'!$B$6-C31</x:f>
        <x:v>223904.40700690233</x:v>
      </x:c>
      <x:c r="F31" s="16" t="n">
        <x:f>((MIN('Inputs'!$B$6/'Inputs'!$B$48,'Inputs'!$B$35)*'Inputs'!$B$38+MAX(0,MIN('Inputs'!$B$6/'Inputs'!$B$48,'Inputs'!$B$36)-'Inputs'!$B$35)*'Inputs'!$B$39+MAX(0,MIN('Inputs'!$B$6/'Inputs'!$B$48,'Inputs'!$B$37)-'Inputs'!$B$36)*'Inputs'!$B$40+MAX(0,'Inputs'!$B$6/'Inputs'!$B$48-'Inputs'!$B$37)*'Inputs'!$B$41+'Inputs'!$B$6/'Inputs'!$B$48*'Inputs'!$B$42)-(MIN(E31/'Inputs'!$B$48,'Inputs'!$B$35)*'Inputs'!$B$38+MAX(0,MIN(E31/'Inputs'!$B$48,'Inputs'!$B$36)-'Inputs'!$B$35)*'Inputs'!$B$39+MAX(0,MIN(E31/'Inputs'!$B$48,'Inputs'!$B$37)-'Inputs'!$B$36)*'Inputs'!$B$40+MAX(0,E31/'Inputs'!$B$48-'Inputs'!$B$37)*'Inputs'!$B$41+E31/'Inputs'!$B$48*'Inputs'!$B$42))*'Inputs'!$B$48*(1+'Inputs'!$B$16)^(A31-1)</x:f>
        <x:v>169820.91146281362</x:v>
      </x:c>
      <x:c r="G31" s="16" t="n">
        <x:f>D31*'Inputs'!$B$18*(1+'Inputs'!$B$16)^(A31-1)</x:f>
        <x:v>0</x:v>
      </x:c>
      <x:c r="H31" s="16" t="n">
        <x:f>'O&amp;M'!$B$11*(1+'Inputs'!$B$27)^(A31-1)</x:f>
        <x:v>22193.418222915356</x:v>
      </x:c>
      <x:c r="I31" s="16" t="n">
        <x:f>'Fast Estimate'!$B$9*'Inputs'!$B$25*(1+'Inputs'!$B$27)^(A31-1)</x:f>
        <x:v>5111.883997344837</x:v>
      </x:c>
      <x:c r="J31" s="16" t="n">
        <x:f>'Inputs'!$B$26*(1+'Inputs'!$B$27)^(A31-1)</x:f>
        <x:v>0</x:v>
      </x:c>
      <x:c r="K31" s="16" t="n">
        <x:f>IF(A31='Inputs'!$B$28,'Fast Estimate'!$B$9*'Inputs'!$B$29*(1+'Inputs'!$B$27)^(A31-1),0)</x:f>
        <x:v>0</x:v>
      </x:c>
      <x:c r="L31" s="17" t="n">
        <x:f>SUM(F31:G31)-SUM(H31:J31)</x:f>
        <x:v>142515.60924255342</x:v>
      </x:c>
      <x:c r="M31" s="16" t="n">
        <x:f>IF(A31&lt;='Inputs'!$B$34,'Fast Estimate'!$B$9/'Inputs'!$B$34,0)</x:f>
        <x:v>25425.345</x:v>
      </x:c>
      <x:c r="N31" s="16" t="n">
        <x:f>MAX(0,L31-M31)*'Inputs'!$B$33</x:f>
        <x:v>0</x:v>
      </x:c>
      <x:c r="O31" s="16" t="n">
        <x:f>MAX(0,L31-M31-R31)*'Inputs'!$B$33</x:f>
        <x:v>0</x:v>
      </x:c>
      <x:c r="P31" s="16" t="n">
        <x:f>MAX(0,'Fast Estimate'!$B$11-(A31-1)*'Fast Estimate'!$B$11/'Inputs'!$B$32)</x:f>
        <x:v>0</x:v>
      </x:c>
      <x:c r="Q31" s="16" t="n">
        <x:f>IF(A31&lt;='Inputs'!$B$32,'Fast Estimate'!$B$11/'Inputs'!$B$32,0)</x:f>
        <x:v>0</x:v>
      </x:c>
      <x:c r="R31" s="16" t="n">
        <x:f>P31*'Inputs'!$B$31</x:f>
        <x:v>0</x:v>
      </x:c>
      <x:c r="S31" s="17" t="n">
        <x:f>MAX(0,P31-Q31)</x:f>
        <x:v>0</x:v>
      </x:c>
      <x:c r="T31" s="17" t="n">
        <x:f>L31-N31-K31</x:f>
        <x:v>142515.60924255342</x:v>
      </x:c>
      <x:c r="U31" s="17" t="n">
        <x:f>L31-O31-K31-Q31-R31</x:f>
        <x:v>142515.60924255342</x:v>
      </x:c>
      <x:c r="V31" s="16" t="n">
        <x:f>T31/(1+'Inputs'!$B$15)^A31</x:f>
        <x:v>20809.830678985094</x:v>
      </x:c>
      <x:c r="W31" s="17" t="n">
        <x:f>W30+T31</x:f>
        <x:v>2316934.0120088872</x:v>
      </x:c>
      <x:c r="X31" s="17" t="n">
        <x:f>X30+V31</x:f>
        <x:v>560404.752551004</x:v>
      </x:c>
      <x:c r="Y31" s="17" t="n">
        <x:f>IF(T31=0,Y30,SIGN(T31))</x:f>
        <x:v>1</x:v>
      </x:c>
      <x:c r="Z31" s="17" t="n">
        <x:f>IF(AND(Y31&lt;&gt;0,Y30&lt;&gt;0,Y31&lt;&gt;Y30),1,0)</x:f>
        <x:v>0</x:v>
      </x:c>
      <x:c r="AA31" s="17" t="n">
        <x:f>IF(U31=0,AA30,SIGN(U31))</x:f>
        <x:v>1</x:v>
      </x:c>
      <x:c r="AB31" s="17" t="n">
        <x:f>IF(AND(AA31&lt;&gt;0,AA30&lt;&gt;0,AA31&lt;&gt;AA30),1,0)</x:f>
        <x:v>0</x:v>
      </x:c>
      <x:c r="AC31" s="20" t="n">
        <x:f>IF(AND(W30&lt;0,W31&gt;=0,T31&gt;0),A31-1-W30/T31,'Inputs'!$B$47+1)</x:f>
        <x:v>26</x:v>
      </x:c>
      <x:c r="AD31" s="20" t="n">
        <x:f>IF(AND(X30&lt;0,X31&gt;=0,V31&gt;0),A31-1-X30/V31,'Inputs'!$B$47+1)</x:f>
        <x:v>26</x:v>
      </x:c>
      <x:c r="AE31" s="16" t="n">
        <x:f>(SUM(H31:K31))/(1+'Inputs'!$B$15)^A31</x:f>
        <x:v>3987.063023216317</x:v>
      </x:c>
      <x:c r="AF31" s="16" t="n">
        <x:f>B31/(1+'Inputs'!$B$15)^A31</x:f>
        <x:v>58752.90262497723</x:v>
      </x:c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</x:row>
  </x:sheetData>
  <x:mergeCells>
    <x:mergeCell ref="A1:A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5" hidden="0" customWidth="1"/>
    <x:col min="3" max="3" width="22" hidden="0" customWidth="1"/>
    <x:col min="4" max="4" width="22" hidden="0" customWidth="1"/>
  </x:cols>
  <x:sheetData>
    <x:row r="1" ht="26" customHeight="1">
      <x:c r="A1" s="3" t="str">
        <x:v>SOLARA | Preliminary client proposal</x:v>
      </x:c>
      <x:c r="B1" s="3"/>
      <x:c r="C1" s="3"/>
      <x:c r="D1" s="3"/>
    </x:row>
    <x:row r="2" ht="26" customHeight="1">
      <x:c r="A2" s="3"/>
      <x:c r="B2" s="3"/>
      <x:c r="C2" s="3"/>
      <x:c r="D2" s="3"/>
    </x:row>
    <x:row r="3" ht="24" customHeight="1">
      <x:c r="A3" s="1"/>
      <x:c r="B3" s="1"/>
      <x:c r="C3" s="1"/>
      <x:c r="D3" s="1"/>
    </x:row>
    <x:row r="4" ht="35" customHeight="1">
      <x:c r="A4" s="32" t="str">
        <x:f>'Inputs'!B44</x:f>
        <x:v>Al-Noor Logistics Warehouse — illustrative demo</x:v>
      </x:c>
      <x:c r="B4" s="33"/>
      <x:c r="C4" s="33"/>
      <x:c r="D4" s="33"/>
    </x:row>
    <x:row r="5" ht="24" customHeight="1">
      <x:c r="A5" s="1"/>
      <x:c r="B5" s="1"/>
      <x:c r="C5" s="1"/>
      <x:c r="D5" s="1"/>
    </x:row>
    <x:row r="6" ht="32" customHeight="1">
      <x:c r="A6" s="6" t="str">
        <x:v>Investment metric</x:v>
      </x:c>
      <x:c r="B6" s="6" t="str">
        <x:v>Result</x:v>
      </x:c>
      <x:c r="C6" s="6" t="str">
        <x:v>Units</x:v>
      </x:c>
      <x:c r="D6" s="6" t="str"/>
    </x:row>
    <x:row r="7" ht="24" customHeight="1">
      <x:c r="A7" s="1" t="str">
        <x:v>System size</x:v>
      </x:c>
      <x:c r="B7" s="20" t="n">
        <x:f>'Fast Estimate'!B5</x:f>
        <x:v>245.3</x:v>
      </x:c>
      <x:c r="C7" s="1" t="str">
        <x:v>kWp</x:v>
      </x:c>
      <x:c r="D7" s="1"/>
    </x:row>
    <x:row r="8" ht="24" customHeight="1">
      <x:c r="A8" s="1" t="str">
        <x:v>CAPEX</x:v>
      </x:c>
      <x:c r="B8" s="20" t="n">
        <x:f>'Fast Estimate'!B9</x:f>
        <x:v>635633.625</x:v>
      </x:c>
      <x:c r="C8" s="1" t="str">
        <x:v>local</x:v>
      </x:c>
      <x:c r="D8" s="1"/>
    </x:row>
    <x:row r="9" ht="24" customHeight="1">
      <x:c r="A9" s="1" t="str">
        <x:v>Year-1 generation</x:v>
      </x:c>
      <x:c r="B9" s="20" t="n">
        <x:f>'Fast Estimate'!B21</x:f>
        <x:v>453805</x:v>
      </x:c>
      <x:c r="C9" s="1" t="str">
        <x:v>kWh</x:v>
      </x:c>
      <x:c r="D9" s="1"/>
    </x:row>
    <x:row r="10" ht="24" customHeight="1">
      <x:c r="A10" s="1" t="str">
        <x:v>Year-1 avoided bill</x:v>
      </x:c>
      <x:c r="B10" s="20" t="n">
        <x:f>'Fast Estimate'!B23</x:f>
        <x:v>119078.432</x:v>
      </x:c>
      <x:c r="C10" s="1" t="str">
        <x:v>local</x:v>
      </x:c>
      <x:c r="D10" s="1"/>
    </x:row>
    <x:row r="11" ht="24" customHeight="1">
      <x:c r="A11" s="1" t="str">
        <x:v>Project NPV</x:v>
      </x:c>
      <x:c r="B11" s="20" t="n">
        <x:f>'Fast Estimate'!B14</x:f>
        <x:v>560404.752551004</x:v>
      </x:c>
      <x:c r="C11" s="1" t="str">
        <x:v>local</x:v>
      </x:c>
      <x:c r="D11" s="1"/>
    </x:row>
    <x:row r="12" ht="24" customHeight="1">
      <x:c r="A12" s="1" t="str">
        <x:v>Project IRR</x:v>
      </x:c>
      <x:c r="B12" s="22" t="n">
        <x:f>'Fast Estimate'!B15</x:f>
        <x:v>0.1668714981963898</x:v>
      </x:c>
      <x:c r="C12" s="1" t="str">
        <x:v>%</x:v>
      </x:c>
      <x:c r="D12" s="1"/>
    </x:row>
    <x:row r="13" ht="24" customHeight="1">
      <x:c r="A13" s="1" t="str">
        <x:v>Cash-flow payback</x:v>
      </x:c>
      <x:c r="B13" s="20" t="n">
        <x:f>'Fast Estimate'!B18</x:f>
        <x:v>6.0099345385163065</x:v>
      </x:c>
      <x:c r="C13" s="1" t="str">
        <x:v>years</x:v>
      </x:c>
      <x:c r="D13" s="1"/>
    </x:row>
    <x:row r="14" ht="40" customHeight="1">
      <x:c r="A14" s="1" t="str">
        <x:v>Screening status</x:v>
      </x:c>
      <x:c r="B14" s="29" t="str">
        <x:f>'Fast Estimate'!B25</x:f>
        <x:v>Validate inputs before a decision</x:v>
      </x:c>
      <x:c r="C14" s="24" t="str"/>
      <x:c r="D14" s="24"/>
    </x:row>
    <x:row r="15" ht="24" customHeight="1">
      <x:c r="A15" s="1"/>
      <x:c r="B15" s="1"/>
      <x:c r="C15" s="1"/>
      <x:c r="D15" s="1"/>
    </x:row>
    <x:row r="16" ht="24" customHeight="1">
      <x:c r="A16" s="1"/>
      <x:c r="B16" s="1"/>
      <x:c r="C16" s="1"/>
      <x:c r="D16" s="1"/>
    </x:row>
    <x:row r="17" ht="42" customHeight="1">
      <x:c r="A17" s="19" t="str">
        <x:v>Scope: validate bills and interval load, survey site, confirm yield and utility conditions, review EPC/O&amp;M offers, and issue a feasibility recommendation.</x:v>
      </x:c>
      <x:c r="B17" s="19"/>
      <x:c r="C17" s="19"/>
      <x:c r="D17" s="19"/>
    </x:row>
    <x:row r="18" ht="24" customHeight="1">
      <x:c r="A18" s="1"/>
      <x:c r="B18" s="1"/>
      <x:c r="C18" s="1"/>
      <x:c r="D18" s="1"/>
    </x:row>
    <x:row r="19" ht="24" customHeight="1">
      <x:c r="A19" s="1"/>
      <x:c r="B19" s="1"/>
      <x:c r="C19" s="1"/>
      <x:c r="D19" s="1"/>
    </x:row>
    <x:row r="20" ht="42" customHeight="1">
      <x:c r="A20" s="19" t="str">
        <x:v>Next decision: proceed, resize, wait, tender or reject after evidence review. This screening document does not approve a project.</x:v>
      </x:c>
      <x:c r="B20" s="19"/>
      <x:c r="C20" s="19"/>
      <x:c r="D20" s="19"/>
    </x:row>
    <x:row r="21" ht="24" customHeight="1">
      <x:c r="A21" s="1"/>
      <x:c r="B21" s="1"/>
      <x:c r="C21" s="1"/>
      <x:c r="D21" s="1"/>
    </x:row>
    <x:row r="22" ht="24" customHeight="1">
      <x:c r="A22" s="1"/>
      <x:c r="B22" s="1"/>
      <x:c r="C22" s="1"/>
      <x:c r="D22" s="1"/>
    </x:row>
    <x:row r="23" ht="42" customHeight="1">
      <x:c r="A23" s="19" t="str">
        <x:v>Fees and commercial terms require a separately agreed advisory scope. No EPC supply contract is implied.</x:v>
      </x:c>
      <x:c r="B23" s="19"/>
      <x:c r="C23" s="19"/>
      <x:c r="D23" s="19"/>
    </x:row>
    <x:row r="24" ht="24" customHeight="1">
      <x:c r="A24" s="1"/>
      <x:c r="B24" s="1"/>
      <x:c r="C24" s="1"/>
      <x:c r="D24" s="1"/>
    </x:row>
    <x:row r="25" ht="24" customHeight="1">
      <x:c r="A25" s="1"/>
      <x:c r="B25" s="1"/>
      <x:c r="C25" s="1"/>
      <x:c r="D25" s="1"/>
    </x:row>
    <x:row r="26" ht="24" customHeight="1">
      <x:c r="A26" s="1"/>
      <x:c r="B26" s="1"/>
      <x:c r="C26" s="1"/>
      <x:c r="D26" s="1"/>
    </x:row>
    <x:row r="27" ht="24" customHeight="1">
      <x:c r="A27" s="1"/>
      <x:c r="B27" s="1"/>
      <x:c r="C27" s="1"/>
      <x:c r="D27" s="1"/>
    </x:row>
    <x:row r="28" ht="24" customHeight="1">
      <x:c r="A28" s="1"/>
      <x:c r="B28" s="1"/>
      <x:c r="C28" s="1"/>
      <x:c r="D28" s="1"/>
    </x:row>
    <x:row r="29" ht="24" customHeight="1">
      <x:c r="A29" s="1"/>
      <x:c r="B29" s="1"/>
      <x:c r="C29" s="1"/>
      <x:c r="D29" s="1"/>
    </x:row>
    <x:row r="30" ht="24" customHeight="1">
      <x:c r="A30" s="1"/>
      <x:c r="B30" s="1"/>
      <x:c r="C30" s="1"/>
      <x:c r="D30" s="1"/>
    </x:row>
    <x:row r="31" ht="24" customHeight="1">
      <x:c r="A31" s="1"/>
      <x:c r="B31" s="1"/>
      <x:c r="C31" s="1"/>
      <x:c r="D31" s="1"/>
    </x:row>
  </x:sheetData>
  <x:mergeCells>
    <x:mergeCell ref="A1:D2"/>
    <x:mergeCell ref="A4:D4"/>
    <x:mergeCell ref="B14:D14"/>
    <x:mergeCell ref="A17:D17"/>
    <x:mergeCell ref="A20:D20"/>
    <x:mergeCell ref="A23:D2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4" hidden="0" customWidth="1"/>
  </x:cols>
  <x:sheetData>
    <x:row r="1" ht="26" customHeight="1">
      <x:c r="A1" s="3" t="str">
        <x:v>SOLARA | Model checks</x:v>
      </x:c>
      <x:c r="B1" s="3"/>
      <x:c r="C1" s="3"/>
      <x:c r="D1" s="3"/>
      <x:c r="E1" s="3"/>
      <x:c r="F1" s="3"/>
      <x:c r="G1" s="3"/>
    </x:row>
    <x:row r="2" ht="26" customHeight="1">
      <x:c r="A2" s="3"/>
      <x:c r="B2" s="3"/>
      <x:c r="C2" s="3"/>
      <x:c r="D2" s="3"/>
      <x:c r="E2" s="3"/>
      <x:c r="F2" s="3"/>
      <x:c r="G2" s="3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 t="str">
        <x:v>MODEL STATUS</x:v>
      </x:c>
      <x:c r="B4" s="1"/>
      <x:c r="C4" s="1"/>
      <x:c r="D4" s="1"/>
      <x:c r="E4" s="1"/>
      <x:c r="F4" s="1"/>
      <x:c r="G4" s="15" t="str">
        <x:f>IF(COUNTIF(G6:G15,"FAIL")=0,"OK","FIX")</x:f>
        <x:v>OK</x:v>
      </x:c>
    </x:row>
    <x:row r="5" ht="32" customHeight="1">
      <x:c r="A5" s="6" t="str">
        <x:v>Assertion</x:v>
      </x:c>
      <x:c r="B5" s="6" t="str">
        <x:v>Actual</x:v>
      </x:c>
      <x:c r="C5" s="6" t="str">
        <x:v>Expected</x:v>
      </x:c>
      <x:c r="D5" s="6" t="str">
        <x:v>Difference</x:v>
      </x:c>
      <x:c r="E5" s="6" t="str">
        <x:v>Tolerance</x:v>
      </x:c>
      <x:c r="F5" s="6" t="str">
        <x:v>Fix / note</x:v>
      </x:c>
      <x:c r="G5" s="6" t="str">
        <x:v>Status</x:v>
      </x:c>
    </x:row>
    <x:row r="6" ht="36" customHeight="1">
      <x:c r="A6" s="1" t="str">
        <x:v>Input ranges valid</x:v>
      </x:c>
      <x:c r="B6" s="26" t="n">
        <x:f>IF(AND(AND(ISNUMBER('Inputs'!$B$6),'Inputs'!$B$6&gt;=0,'Inputs'!$B$6&lt;=1000000000),AND(ISNUMBER('Inputs'!$B$7),'Inputs'!$B$7&gt;=0,'Inputs'!$B$7&lt;=10000000),AND(ISNUMBER('Inputs'!$B$8),'Inputs'!$B$8&gt;=0,'Inputs'!$B$8&lt;=1),AND(ISNUMBER('Inputs'!$B$9),'Inputs'!$B$9&gt;=0,'Inputs'!$B$9&lt;=1),AND(ISNUMBER('Inputs'!$B$10),'Inputs'!$B$10&gt;=1,'Inputs'!$B$10&lt;=3500),AND(ISNUMBER('Inputs'!$B$11),'Inputs'!$B$11&gt;=1,'Inputs'!$B$11&lt;=2000),AND(ISNUMBER('Inputs'!$B$12),'Inputs'!$B$12&gt;=1,'Inputs'!$B$12&lt;=100),AND(ISNUMBER('Inputs'!$B$13),'Inputs'!$B$13&gt;=1,'Inputs'!$B$13&lt;=10000000),AND(ISNUMBER('Inputs'!$B$14),'Inputs'!$B$14&gt;=0,'Inputs'!$B$14&lt;=1000000000000),AND(ISNUMBER('Inputs'!$B$15),'Inputs'!$B$15&gt;=0,'Inputs'!$B$15&lt;=1),AND(ISNUMBER('Inputs'!$B$16),'Inputs'!$B$16&gt;=-0.2,'Inputs'!$B$16&lt;=0.2),AND(ISNUMBER('Inputs'!$B$17),'Inputs'!$B$17&gt;=0,'Inputs'!$B$17&lt;=0.2),AND(ISNUMBER('Inputs'!$B$18),'Inputs'!$B$18&gt;=0,'Inputs'!$B$18&lt;=100),AND(ISNUMBER('Inputs'!$B$19),'Inputs'!$B$19&gt;=0,'Inputs'!$B$19&lt;=10000000),AND(ISNUMBER('Inputs'!$B$20),'Inputs'!$B$20&gt;=0,'Inputs'!$B$20&lt;=365),AND(ISNUMBER('Inputs'!$B$21),'Inputs'!$B$21&gt;=0,'Inputs'!$B$21&lt;=1000000000),AND(ISNUMBER('Inputs'!$B$22),'Inputs'!$B$22&gt;=0,'Inputs'!$B$22&lt;=1000000000),AND(ISNUMBER('Inputs'!$B$23),'Inputs'!$B$23&gt;=0,'Inputs'!$B$23&lt;=1000000000),AND(ISNUMBER('Inputs'!$B$24),'Inputs'!$B$24&gt;=0,'Inputs'!$B$24&lt;=1000000000),AND(ISNUMBER('Inputs'!$B$25),'Inputs'!$B$25&gt;=0,'Inputs'!$B$25&lt;=1),AND(ISNUMBER('Inputs'!$B$26),'Inputs'!$B$26&gt;=0,'Inputs'!$B$26&lt;=10000000000),AND(ISNUMBER('Inputs'!$B$27),'Inputs'!$B$27&gt;=0,'Inputs'!$B$27&lt;=0.2),AND(ISNUMBER('Inputs'!$B$28),'Inputs'!$B$28&gt;=1,'Inputs'!$B$28&lt;=25),AND(ISNUMBER('Inputs'!$B$29),'Inputs'!$B$29&gt;=0,'Inputs'!$B$29&lt;=1),AND(ISNUMBER('Inputs'!$B$30),'Inputs'!$B$30&gt;=0,'Inputs'!$B$30&lt;=0.99),AND(ISNUMBER('Inputs'!$B$31),'Inputs'!$B$31&gt;=0,'Inputs'!$B$31&lt;=1),AND(ISNUMBER('Inputs'!$B$32),'Inputs'!$B$32&gt;=1,'Inputs'!$B$32&lt;=25),AND(ISNUMBER('Inputs'!$B$33),'Inputs'!$B$33&gt;=0,'Inputs'!$B$33&lt;=0.6),AND(ISNUMBER('Inputs'!$B$34),'Inputs'!$B$34&gt;=1,'Inputs'!$B$34&lt;=25),AND(ISNUMBER('Inputs'!$B$35),'Inputs'!$B$35&gt;=0,'Inputs'!$B$35&lt;=1000000000),AND(ISNUMBER('Inputs'!$B$36),'Inputs'!$B$36&gt;=0,'Inputs'!$B$36&lt;=1000000000),AND(ISNUMBER('Inputs'!$B$37),'Inputs'!$B$37&gt;=0,'Inputs'!$B$37&lt;=1000000000),AND(ISNUMBER('Inputs'!$B$38),'Inputs'!$B$38&gt;=0,'Inputs'!$B$38&lt;=100),AND(ISNUMBER('Inputs'!$B$39),'Inputs'!$B$39&gt;=0,'Inputs'!$B$39&lt;=100),AND(ISNUMBER('Inputs'!$B$40),'Inputs'!$B$40&gt;=0,'Inputs'!$B$40&lt;=100),AND(ISNUMBER('Inputs'!$B$41),'Inputs'!$B$41&gt;=0,'Inputs'!$B$41&lt;=100),AND(ISNUMBER('Inputs'!$B$42),'Inputs'!$B$42&gt;=0,'Inputs'!$B$42&lt;=100)),1,0)</x:f>
        <x:v>1</x:v>
      </x:c>
      <x:c r="C6" s="27" t="n">
        <x:v>1</x:v>
      </x:c>
      <x:c r="D6" s="28" t="n">
        <x:f>B6-C6</x:f>
        <x:v>0</x:v>
      </x:c>
      <x:c r="E6" s="27" t="n">
        <x:v>0.000001</x:v>
      </x:c>
      <x:c r="F6" s="24" t="str">
        <x:v>Inputs</x:v>
      </x:c>
      <x:c r="G6" s="15" t="str">
        <x:f>IF(ABS(D6)&lt;=E6,"OK","FAIL")</x:f>
        <x:v>OK</x:v>
      </x:c>
    </x:row>
    <x:row r="7" ht="36" customHeight="1">
      <x:c r="A7" s="1" t="str">
        <x:v>Tier limits ordered</x:v>
      </x:c>
      <x:c r="B7" s="26" t="n">
        <x:f>IF(AND('Inputs'!$B$35&lt;='Inputs'!$B$36,'Inputs'!$B$36&lt;='Inputs'!$B$37),1,0)</x:f>
        <x:v>1</x:v>
      </x:c>
      <x:c r="C7" s="27" t="n">
        <x:v>1</x:v>
      </x:c>
      <x:c r="D7" s="28" t="n">
        <x:f>B7-C7</x:f>
        <x:v>0</x:v>
      </x:c>
      <x:c r="E7" s="27" t="n">
        <x:v>0.000001</x:v>
      </x:c>
      <x:c r="F7" s="24" t="str">
        <x:v>Inputs tariffs</x:v>
      </x:c>
      <x:c r="G7" s="15" t="str">
        <x:f>IF(ABS(D7)&lt;=E7,"OK","FAIL")</x:f>
        <x:v>OK</x:v>
      </x:c>
    </x:row>
    <x:row r="8" ht="36" customHeight="1">
      <x:c r="A8" s="1" t="str">
        <x:v>Area respected</x:v>
      </x:c>
      <x:c r="B8" s="26" t="n">
        <x:f>IF('Fast Estimate'!B7&lt;='Inputs'!$B$7+0.000001,1,0)</x:f>
        <x:v>1</x:v>
      </x:c>
      <x:c r="C8" s="27" t="n">
        <x:v>1</x:v>
      </x:c>
      <x:c r="D8" s="28" t="n">
        <x:f>B8-C8</x:f>
        <x:v>0</x:v>
      </x:c>
      <x:c r="E8" s="27" t="n">
        <x:v>0.000001</x:v>
      </x:c>
      <x:c r="F8" s="24" t="str">
        <x:v>Sizing</x:v>
      </x:c>
      <x:c r="G8" s="15" t="str">
        <x:f>IF(ABS(D8)&lt;=E8,"OK","FAIL")</x:f>
        <x:v>OK</x:v>
      </x:c>
    </x:row>
    <x:row r="9" ht="36" customHeight="1">
      <x:c r="A9" s="1" t="str">
        <x:v>Grant &lt;= CAPEX</x:v>
      </x:c>
      <x:c r="B9" s="26" t="n">
        <x:f>IF('Inputs'!$B$14&lt;='Fast Estimate'!B9,1,0)</x:f>
        <x:v>1</x:v>
      </x:c>
      <x:c r="C9" s="27" t="n">
        <x:v>1</x:v>
      </x:c>
      <x:c r="D9" s="28" t="n">
        <x:f>B9-C9</x:f>
        <x:v>0</x:v>
      </x:c>
      <x:c r="E9" s="27" t="n">
        <x:v>0.000001</x:v>
      </x:c>
      <x:c r="F9" s="24" t="str">
        <x:v>Grant</x:v>
      </x:c>
      <x:c r="G9" s="15" t="str">
        <x:f>IF(ABS(D9)&lt;=E9,"OK","FAIL")</x:f>
        <x:v>OK</x:v>
      </x:c>
    </x:row>
    <x:row r="10" ht="36" customHeight="1">
      <x:c r="A10" s="1" t="str">
        <x:v>Energy balance</x:v>
      </x:c>
      <x:c r="B10" s="26" t="n">
        <x:f>SUM('Cash Flow'!B7:B31)-SUM('Cash Flow'!C7:D31)</x:f>
        <x:v>3.725290298461914e-9</x:v>
      </x:c>
      <x:c r="C10" s="27" t="n">
        <x:v>0</x:v>
      </x:c>
      <x:c r="D10" s="28" t="n">
        <x:f>B10-C10</x:f>
        <x:v>3.725290298461914e-9</x:v>
      </x:c>
      <x:c r="E10" s="27" t="n">
        <x:v>0.000001</x:v>
      </x:c>
      <x:c r="F10" s="24" t="str">
        <x:v>PV = self + export</x:v>
      </x:c>
      <x:c r="G10" s="15" t="str">
        <x:f>IF(ABS(D10)&lt;=E10,"OK","FAIL")</x:f>
        <x:v>OK</x:v>
      </x:c>
    </x:row>
    <x:row r="11" ht="36" customHeight="1">
      <x:c r="A11" s="1" t="str">
        <x:v>Debt repayment</x:v>
      </x:c>
      <x:c r="B11" s="26" t="n">
        <x:f>SUM('Cash Flow'!Q7:Q31)-'Fast Estimate'!B11</x:f>
        <x:v>0</x:v>
      </x:c>
      <x:c r="C11" s="27" t="n">
        <x:v>0</x:v>
      </x:c>
      <x:c r="D11" s="28" t="n">
        <x:f>B11-C11</x:f>
        <x:v>0</x:v>
      </x:c>
      <x:c r="E11" s="27" t="n">
        <x:v>0.000001</x:v>
      </x:c>
      <x:c r="F11" s="24" t="str">
        <x:v>Debt schedule</x:v>
      </x:c>
      <x:c r="G11" s="15" t="str">
        <x:f>IF(ABS(D11)&lt;=E11,"OK","FAIL")</x:f>
        <x:v>OK</x:v>
      </x:c>
    </x:row>
    <x:row r="12" ht="36" customHeight="1">
      <x:c r="A12" s="1" t="str">
        <x:v>Cash roll-forward</x:v>
      </x:c>
      <x:c r="B12" s="26" t="n">
        <x:f>'Cash Flow'!W31-SUM('Cash Flow'!T6:T31)</x:f>
        <x:v>0</x:v>
      </x:c>
      <x:c r="C12" s="27" t="n">
        <x:v>0</x:v>
      </x:c>
      <x:c r="D12" s="28" t="n">
        <x:f>B12-C12</x:f>
        <x:v>0</x:v>
      </x:c>
      <x:c r="E12" s="27" t="n">
        <x:v>0.000001</x:v>
      </x:c>
      <x:c r="F12" s="24" t="str">
        <x:v>Cash Flow T/W</x:v>
      </x:c>
      <x:c r="G12" s="15" t="str">
        <x:f>IF(ABS(D12)&lt;=E12,"OK","FAIL")</x:f>
        <x:v>OK</x:v>
      </x:c>
    </x:row>
    <x:row r="13" ht="36" customHeight="1">
      <x:c r="A13" s="1" t="str">
        <x:v>NPV tie-out</x:v>
      </x:c>
      <x:c r="B13" s="26" t="n">
        <x:f>'Fast Estimate'!B14-(NPV('Inputs'!$B$15,'Cash Flow'!T7:T31)+'Cash Flow'!T6)</x:f>
        <x:v>2.3283064365386963e-10</x:v>
      </x:c>
      <x:c r="C13" s="27" t="n">
        <x:v>0</x:v>
      </x:c>
      <x:c r="D13" s="28" t="n">
        <x:f>B13-C13</x:f>
        <x:v>2.3283064365386963e-10</x:v>
      </x:c>
      <x:c r="E13" s="27" t="n">
        <x:v>0.000001</x:v>
      </x:c>
      <x:c r="F13" s="24" t="str">
        <x:v>Year-0 convention</x:v>
      </x:c>
      <x:c r="G13" s="15" t="str">
        <x:f>IF(ABS(D13)&lt;=E13,"OK","FAIL")</x:f>
        <x:v>OK</x:v>
      </x:c>
    </x:row>
    <x:row r="14" ht="36" customHeight="1">
      <x:c r="A14" s="1" t="str">
        <x:v>Whole-year inputs</x:v>
      </x:c>
      <x:c r="B14" s="26" t="n">
        <x:f>IF(AND('Inputs'!$B$20=INT('Inputs'!$B$20),'Inputs'!$B$28=INT('Inputs'!$B$28),'Inputs'!$B$32=INT('Inputs'!$B$32),'Inputs'!$B$34=INT('Inputs'!$B$34)),1,0)</x:f>
        <x:v>1</x:v>
      </x:c>
      <x:c r="C14" s="27" t="n">
        <x:v>1</x:v>
      </x:c>
      <x:c r="D14" s="28" t="n">
        <x:f>B14-C14</x:f>
        <x:v>0</x:v>
      </x:c>
      <x:c r="E14" s="27" t="n">
        <x:v>0.000001</x:v>
      </x:c>
      <x:c r="F14" s="24" t="str">
        <x:v>Timing inputs</x:v>
      </x:c>
      <x:c r="G14" s="15" t="str">
        <x:f>IF(ABS(D14)&lt;=E14,"OK","FAIL")</x:f>
        <x:v>OK</x:v>
      </x:c>
    </x:row>
    <x:row r="15" ht="36" customHeight="1">
      <x:c r="A15" s="1" t="str">
        <x:v>Project CF bridge</x:v>
      </x:c>
      <x:c r="B15" s="26" t="n">
        <x:f>SUM('Cash Flow'!T7:T31)-SUM('Cash Flow'!L7:L31)+SUM('Cash Flow'!N7:N31)+SUM('Cash Flow'!K7:K31)</x:f>
        <x:v>-2.9103830456733704e-11</x:v>
      </x:c>
      <x:c r="C15" s="27" t="n">
        <x:v>0</x:v>
      </x:c>
      <x:c r="D15" s="28" t="n">
        <x:f>B15-C15</x:f>
        <x:v>-2.9103830456733704e-11</x:v>
      </x:c>
      <x:c r="E15" s="27" t="n">
        <x:v>0.000001</x:v>
      </x:c>
      <x:c r="F15" s="24" t="str">
        <x:v>Project CF</x:v>
      </x:c>
      <x:c r="G15" s="15" t="str">
        <x:f>IF(ABS(D15)&lt;=E15,"OK","FAIL")</x:f>
        <x:v>OK</x:v>
      </x:c>
    </x:row>
    <x:row r="16" ht="24" customHeight="1">
      <x:c r="A16" s="1"/>
      <x:c r="B16" s="1"/>
      <x:c r="C16" s="1"/>
      <x:c r="D16" s="1"/>
      <x:c r="E16" s="1"/>
      <x:c r="F16" s="1"/>
      <x:c r="G16" s="1"/>
    </x:row>
    <x:row r="17" ht="24" customHeight="1">
      <x:c r="A17" s="1"/>
      <x:c r="B17" s="1"/>
      <x:c r="C17" s="1"/>
      <x:c r="D17" s="1"/>
      <x:c r="E17" s="1"/>
      <x:c r="F17" s="1"/>
      <x:c r="G17" s="1"/>
    </x:row>
    <x:row r="18" ht="24" customHeight="1">
      <x:c r="A18" s="1"/>
      <x:c r="B18" s="1"/>
      <x:c r="C18" s="1"/>
      <x:c r="D18" s="1"/>
      <x:c r="E18" s="1"/>
      <x:c r="F18" s="1"/>
      <x:c r="G18" s="1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1"/>
      <x:c r="B20" s="1"/>
      <x:c r="C20" s="1"/>
      <x:c r="D20" s="1"/>
      <x:c r="E20" s="1"/>
      <x:c r="F20" s="1"/>
      <x:c r="G20" s="1"/>
    </x:row>
  </x:sheetData>
  <x:mergeCells>
    <x:mergeCell ref="A1:G2"/>
  </x:mergeCells>
  <x:conditionalFormatting sqref="G6:G15">
    <x:cfRule type="containsText" dxfId="0" priority="1" operator="containsText" text="FAIL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5" hidden="0" customWidth="1"/>
    <x:col min="3" max="3" width="36" hidden="0" customWidth="1"/>
    <x:col min="4" max="4" width="36" hidden="0" customWidth="1"/>
  </x:cols>
  <x:sheetData>
    <x:row r="1" ht="26" customHeight="1">
      <x:c r="A1" s="3" t="str">
        <x:v>SOLARA | Sources and assumptions</x:v>
      </x:c>
      <x:c r="B1" s="3"/>
      <x:c r="C1" s="3"/>
      <x:c r="D1" s="3"/>
    </x:row>
    <x:row r="2" ht="26" customHeight="1">
      <x:c r="A2" s="3"/>
      <x:c r="B2" s="3"/>
      <x:c r="C2" s="3"/>
      <x:c r="D2" s="3"/>
    </x:row>
    <x:row r="3" ht="24" customHeight="1">
      <x:c r="A3" s="1"/>
      <x:c r="B3" s="1"/>
      <x:c r="C3" s="1"/>
      <x:c r="D3" s="1"/>
    </x:row>
    <x:row r="4" ht="24" customHeight="1">
      <x:c r="A4" s="1"/>
      <x:c r="B4" s="1"/>
      <x:c r="C4" s="1"/>
      <x:c r="D4" s="1"/>
    </x:row>
    <x:row r="5" ht="32" customHeight="1">
      <x:c r="A5" s="6" t="str">
        <x:v>Source / rule</x:v>
      </x:c>
      <x:c r="B5" s="6" t="str">
        <x:v>Date / basis</x:v>
      </x:c>
      <x:c r="C5" s="6" t="str">
        <x:v>Scope</x:v>
      </x:c>
      <x:c r="D5" s="6" t="str">
        <x:v>Limit</x:v>
      </x:c>
    </x:row>
    <x:row r="6" ht="69" customHeight="1">
      <x:c r="A6" s="24" t="str">
        <x:v>Solara_Fast_Estimate_CORRECTED.xlsx</x:v>
      </x:c>
      <x:c r="B6" s="24" t="str">
        <x:v>2026-07-11</x:v>
      </x:c>
      <x:c r="C6" s="24" t="str">
        <x:v>Target 0.8, yield, CAPEX, currency, O&amp;M</x:v>
      </x:c>
      <x:c r="D6" s="24" t="str">
        <x:v>Historical planning data</x:v>
      </x:c>
    </x:row>
    <x:row r="7" ht="69" customHeight="1">
      <x:c r="A7" s="24" t="str">
        <x:v>Solara_Model_CORRECTED.xlsx</x:v>
      </x:c>
      <x:c r="B7" s="24" t="str">
        <x:v>2026-07-11</x:v>
      </x:c>
      <x:c r="C7" s="24" t="str">
        <x:v>Annual load 553,846; target 0.82; module 550 W; 25 years</x:v>
      </x:c>
      <x:c r="D7" s="24" t="str">
        <x:v>Legacy missing inputs not carried forward</x:v>
      </x:c>
    </x:row>
    <x:row r="8" ht="69" customHeight="1">
      <x:c r="A8" s="24" t="str">
        <x:v>Solara_Site_Final_2026-08-19-v4.zip</x:v>
      </x:c>
      <x:c r="B8" s="24" t="str">
        <x:v>2026-08-19</x:v>
      </x:c>
      <x:c r="C8" s="24" t="str">
        <x:v>Brand, web flow and tariff comparison</x:v>
      </x:c>
      <x:c r="D8" s="24" t="str">
        <x:v>Separate old model had different assumptions</x:v>
      </x:c>
    </x:row>
    <x:row r="9" ht="69" customHeight="1">
      <x:c r="A9" s="24" t="str">
        <x:v>Consolidated demo</x:v>
      </x:c>
      <x:c r="B9" s="24" t="str">
        <x:v>2026-09-07</x:v>
      </x:c>
      <x:c r="C9" s="24" t="str">
        <x:v>KSA; 1,500 m²; self use 82%; replacement 10% at year 12</x:v>
      </x:c>
      <x:c r="D9" s="24" t="str">
        <x:v>Illustrative; no real customer results claimed</x:v>
      </x:c>
    </x:row>
    <x:row r="10" ht="69" customHeight="1">
      <x:c r="A10" s="24" t="str">
        <x:v>Monthly progressive tariffs</x:v>
      </x:c>
      <x:c r="B10" s="24" t="str">
        <x:v>User-editable</x:v>
      </x:c>
      <x:c r="C10" s="24" t="str">
        <x:v>Bill before minus bill after in each year</x:v>
      </x:c>
      <x:c r="D10" s="24" t="str">
        <x:v>Equal monthly load; no demand/time-of-use model</x:v>
      </x:c>
    </x:row>
    <x:row r="11" ht="69" customHeight="1">
      <x:c r="A11" s="24" t="str">
        <x:v>NPV / IRR</x:v>
      </x:c>
      <x:c r="B11" s="24" t="str">
        <x:v>Year-end cash flows</x:v>
      </x:c>
      <x:c r="C11" s="24" t="str">
        <x:v>NPV = sum CF/(1+r)^year; IRR solves NPV=0</x:v>
      </x:c>
      <x:c r="D11" s="24" t="str">
        <x:v>IRR guarded when sign changes are not exactly one</x:v>
      </x:c>
    </x:row>
    <x:row r="12" ht="69" customHeight="1">
      <x:c r="A12" s="24" t="str">
        <x:v>O&amp;M / replacement</x:v>
      </x:c>
      <x:c r="B12" s="24" t="str">
        <x:v>Nominal costs</x:v>
      </x:c>
      <x:c r="C12" s="24" t="str">
        <x:v>Base + add-ons, inflated annually; replacement separately</x:v>
      </x:c>
      <x:c r="D12" s="24" t="str">
        <x:v>No duplicate costs if base contract already includes them</x:v>
      </x:c>
    </x:row>
    <x:row r="13" ht="69" customHeight="1">
      <x:c r="A13" s="24" t="str">
        <x:v>Tax / debt</x:v>
      </x:c>
      <x:c r="B13" s="24" t="str">
        <x:v>Simplified project model</x:v>
      </x:c>
      <x:c r="C13" s="24" t="str">
        <x:v>Effective tax; straight-line depreciation / debt principal</x:v>
      </x:c>
      <x:c r="D13" s="24" t="str">
        <x:v>No loss carry-forward or replacement depreciation</x:v>
      </x:c>
    </x:row>
    <x:row r="14" ht="69" customHeight="1">
      <x:c r="A14" s="24" t="str">
        <x:v>Roof and module rounding</x:v>
      </x:c>
      <x:c r="B14" s="24" t="str">
        <x:v>Conservative sizing</x:v>
      </x:c>
      <x:c r="C14" s="24" t="str">
        <x:v>Min(target demand size, area size), round modules down</x:v>
      </x:c>
      <x:c r="D14" s="24" t="str">
        <x:v>Zero usable area means zero capacity</x:v>
      </x:c>
    </x:row>
    <x:row r="15" ht="69" customHeight="1">
      <x:c r="A15" s="24" t="str">
        <x:v>Web / Excel synchronization</x:v>
      </x:c>
      <x:c r="B15" s="24" t="str">
        <x:v>Shared equations and demo</x:v>
      </x:c>
      <x:c r="C15" s="24" t="str">
        <x:v>Companion workbook values checked against JS engine</x:v>
      </x:c>
      <x:c r="D15" s="24" t="str">
        <x:v>No automatic two-way input synchronization</x:v>
      </x:c>
    </x:row>
    <x:row r="16" ht="69" customHeight="1">
      <x:c r="A16" s="24" t="str">
        <x:v>Utility references to verify</x:v>
      </x:c>
      <x:c r="B16" s="24" t="str">
        <x:v>Not verified this run</x:v>
      </x:c>
      <x:c r="C16" s="24" t="str">
        <x:v>https://www.se.com.sa/ | https://www.dewa.gov.ae/</x:v>
      </x:c>
      <x:c r="D16" s="24" t="str">
        <x:v>Actual utility bill must control tariff choice</x:v>
      </x:c>
    </x:row>
    <x:row r="17" ht="69" customHeight="1">
      <x:c r="A17" s="24" t="str">
        <x:v>Egypt reference to verify</x:v>
      </x:c>
      <x:c r="B17" s="24" t="str">
        <x:v>Not verified this run</x:v>
      </x:c>
      <x:c r="C17" s="24" t="str">
        <x:v>https://egyptera.org/</x:v>
      </x:c>
      <x:c r="D17" s="24" t="str">
        <x:v>Use correct voltage class and latest schedule</x:v>
      </x:c>
    </x:row>
    <x:row r="18" ht="24" customHeight="1">
      <x:c r="A18" s="1"/>
      <x:c r="B18" s="1"/>
      <x:c r="C18" s="1"/>
      <x:c r="D18" s="1"/>
    </x:row>
    <x:row r="19" ht="24" customHeight="1">
      <x:c r="A19" s="1"/>
      <x:c r="B19" s="1"/>
      <x:c r="C19" s="1"/>
      <x:c r="D19" s="1"/>
    </x:row>
    <x:row r="20" ht="24" customHeight="1">
      <x:c r="A20" s="1"/>
      <x:c r="B20" s="1"/>
      <x:c r="C20" s="1"/>
      <x:c r="D20" s="1"/>
    </x:row>
    <x:row r="21" ht="24" customHeight="1">
      <x:c r="A21" s="1"/>
      <x:c r="B21" s="1"/>
      <x:c r="C21" s="1"/>
      <x:c r="D21" s="1"/>
    </x:row>
    <x:row r="22" ht="24" customHeight="1">
      <x:c r="A22" s="1"/>
      <x:c r="B22" s="1"/>
      <x:c r="C22" s="1"/>
      <x:c r="D22" s="1"/>
    </x:row>
    <x:row r="23" ht="24" customHeight="1">
      <x:c r="A23" s="1"/>
      <x:c r="B23" s="1"/>
      <x:c r="C23" s="1"/>
      <x:c r="D23" s="1"/>
    </x:row>
    <x:row r="24" ht="24" customHeight="1">
      <x:c r="A24" s="1"/>
      <x:c r="B24" s="1"/>
      <x:c r="C24" s="1"/>
      <x:c r="D24" s="1"/>
    </x:row>
    <x:row r="25" ht="24" customHeight="1">
      <x:c r="A25" s="1"/>
      <x:c r="B25" s="1"/>
      <x:c r="C25" s="1"/>
      <x:c r="D25" s="1"/>
    </x:row>
    <x:row r="26" ht="24" customHeight="1">
      <x:c r="A26" s="1"/>
      <x:c r="B26" s="1"/>
      <x:c r="C26" s="1"/>
      <x:c r="D26" s="1"/>
    </x:row>
    <x:row r="27" ht="24" customHeight="1">
      <x:c r="A27" s="1"/>
      <x:c r="B27" s="1"/>
      <x:c r="C27" s="1"/>
      <x:c r="D27" s="1"/>
    </x:row>
  </x:sheetData>
  <x:mergeCells>
    <x:mergeCell ref="A1:D2"/>
  </x:mergeCells>
  <x:pageMargins left="0.7" right="0.7" top="0.75" bottom="0.75" header="0.3" footer="0.3"/>
</x:worksheet>
</file>